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3390" windowHeight="2055" activeTab="1"/>
  </bookViews>
  <sheets>
    <sheet name="sar medee" sheetId="7" r:id="rId1"/>
    <sheet name="ur" sheetId="4" r:id="rId2"/>
    <sheet name="avlaga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1">ur!$A$1:$L$80</definedName>
  </definedNames>
  <calcPr calcId="152511"/>
</workbook>
</file>

<file path=xl/calcChain.xml><?xml version="1.0" encoding="utf-8"?>
<calcChain xmlns="http://schemas.openxmlformats.org/spreadsheetml/2006/main">
  <c r="I25" i="4" l="1"/>
  <c r="M20" i="7"/>
  <c r="N20" i="7"/>
  <c r="N19" i="7" s="1"/>
  <c r="O20" i="7"/>
  <c r="M11" i="7"/>
  <c r="N11" i="7"/>
  <c r="N71" i="7"/>
  <c r="M71" i="7"/>
  <c r="N67" i="7"/>
  <c r="M67" i="7"/>
  <c r="N63" i="7"/>
  <c r="M63" i="7"/>
  <c r="N53" i="7"/>
  <c r="M53" i="7"/>
  <c r="N51" i="7"/>
  <c r="M51" i="7"/>
  <c r="N46" i="7"/>
  <c r="M46" i="7"/>
  <c r="N42" i="7"/>
  <c r="M42" i="7"/>
  <c r="N36" i="7"/>
  <c r="M36" i="7"/>
  <c r="N32" i="7"/>
  <c r="M32" i="7"/>
  <c r="N26" i="7"/>
  <c r="M26" i="7"/>
  <c r="M19" i="7" l="1"/>
  <c r="I88" i="3" l="1"/>
  <c r="F88" i="3"/>
  <c r="G88" i="3" s="1"/>
  <c r="I47" i="4"/>
  <c r="F47" i="4"/>
  <c r="G46" i="4"/>
  <c r="G47" i="4" s="1"/>
  <c r="V8" i="7"/>
  <c r="V71" i="7"/>
  <c r="U71" i="7"/>
  <c r="V67" i="7"/>
  <c r="U67" i="7"/>
  <c r="V63" i="7"/>
  <c r="U63" i="7"/>
  <c r="V53" i="7"/>
  <c r="U53" i="7"/>
  <c r="V51" i="7"/>
  <c r="V19" i="7" s="1"/>
  <c r="U51" i="7"/>
  <c r="U19" i="7" s="1"/>
  <c r="V46" i="7"/>
  <c r="U46" i="7"/>
  <c r="V42" i="7"/>
  <c r="U42" i="7"/>
  <c r="V36" i="7"/>
  <c r="U36" i="7"/>
  <c r="V32" i="7"/>
  <c r="U32" i="7"/>
  <c r="V26" i="7"/>
  <c r="U26" i="7"/>
  <c r="V20" i="7"/>
  <c r="U20" i="7"/>
  <c r="V11" i="7"/>
  <c r="U11" i="7"/>
  <c r="G59" i="4" l="1"/>
  <c r="F59" i="4"/>
  <c r="I58" i="4"/>
  <c r="I56" i="4"/>
  <c r="I55" i="4"/>
  <c r="I54" i="4"/>
  <c r="AJ71" i="7"/>
  <c r="AI71" i="7"/>
  <c r="AJ67" i="7"/>
  <c r="AI67" i="7"/>
  <c r="AJ63" i="7"/>
  <c r="AI63" i="7"/>
  <c r="AJ53" i="7"/>
  <c r="AI53" i="7"/>
  <c r="AJ51" i="7"/>
  <c r="AI51" i="7"/>
  <c r="AJ46" i="7"/>
  <c r="AI46" i="7"/>
  <c r="AJ42" i="7"/>
  <c r="AI42" i="7"/>
  <c r="AJ36" i="7"/>
  <c r="AI36" i="7"/>
  <c r="AJ32" i="7"/>
  <c r="AI32" i="7"/>
  <c r="AJ26" i="7"/>
  <c r="AI26" i="7"/>
  <c r="AJ20" i="7"/>
  <c r="AI20" i="7"/>
  <c r="AI19" i="7" s="1"/>
  <c r="AJ19" i="7"/>
  <c r="AJ8" i="7" s="1"/>
  <c r="AJ15" i="7"/>
  <c r="AJ11" i="7"/>
  <c r="AI11" i="7"/>
  <c r="AJ9" i="7"/>
  <c r="I59" i="4" l="1"/>
  <c r="AJ10" i="7" s="1"/>
  <c r="J71" i="7"/>
  <c r="I71" i="7"/>
  <c r="J67" i="7"/>
  <c r="I67" i="7"/>
  <c r="J63" i="7"/>
  <c r="I63" i="7"/>
  <c r="J53" i="7"/>
  <c r="I53" i="7"/>
  <c r="J51" i="7"/>
  <c r="I51" i="7"/>
  <c r="J50" i="7"/>
  <c r="J46" i="7" s="1"/>
  <c r="I50" i="7"/>
  <c r="I46" i="7"/>
  <c r="J42" i="7"/>
  <c r="I42" i="7"/>
  <c r="J36" i="7"/>
  <c r="I36" i="7"/>
  <c r="J32" i="7"/>
  <c r="I32" i="7"/>
  <c r="J26" i="7"/>
  <c r="J19" i="7" s="1"/>
  <c r="I26" i="7"/>
  <c r="J20" i="7"/>
  <c r="I20" i="7"/>
  <c r="I19" i="7"/>
  <c r="J14" i="7"/>
  <c r="J11" i="7" s="1"/>
  <c r="I11" i="7"/>
  <c r="J8" i="7" l="1"/>
  <c r="I53" i="4" l="1"/>
  <c r="F53" i="4"/>
  <c r="G52" i="4"/>
  <c r="G51" i="4"/>
  <c r="AB71" i="7"/>
  <c r="AA71" i="7"/>
  <c r="AB67" i="7"/>
  <c r="AA67" i="7"/>
  <c r="AB63" i="7"/>
  <c r="AA63" i="7"/>
  <c r="AB53" i="7"/>
  <c r="AA53" i="7"/>
  <c r="AB51" i="7"/>
  <c r="AA51" i="7"/>
  <c r="AB46" i="7"/>
  <c r="AA46" i="7"/>
  <c r="AB42" i="7"/>
  <c r="AA42" i="7"/>
  <c r="AB36" i="7"/>
  <c r="AB19" i="7" s="1"/>
  <c r="AA36" i="7"/>
  <c r="AA19" i="7" s="1"/>
  <c r="AB32" i="7"/>
  <c r="AA32" i="7"/>
  <c r="AB26" i="7"/>
  <c r="AA26" i="7"/>
  <c r="AB20" i="7"/>
  <c r="AA20" i="7"/>
  <c r="AB10" i="7"/>
  <c r="T71" i="7" l="1"/>
  <c r="T67" i="7"/>
  <c r="S67" i="7"/>
  <c r="T63" i="7"/>
  <c r="S63" i="7"/>
  <c r="T53" i="7"/>
  <c r="T51" i="7"/>
  <c r="S51" i="7"/>
  <c r="T46" i="7"/>
  <c r="S46" i="7"/>
  <c r="T42" i="7"/>
  <c r="S42" i="7"/>
  <c r="T36" i="7"/>
  <c r="T19" i="7" s="1"/>
  <c r="S36" i="7"/>
  <c r="S19" i="7" s="1"/>
  <c r="T32" i="7"/>
  <c r="S32" i="7"/>
  <c r="T26" i="7"/>
  <c r="S26" i="7"/>
  <c r="T20" i="7"/>
  <c r="S20" i="7"/>
  <c r="T11" i="7"/>
  <c r="S11" i="7"/>
  <c r="T10" i="7"/>
  <c r="T9" i="7"/>
  <c r="T8" i="7" l="1"/>
  <c r="Z71" i="7" l="1"/>
  <c r="Y71" i="7"/>
  <c r="Z67" i="7"/>
  <c r="Y67" i="7"/>
  <c r="Z63" i="7"/>
  <c r="Y63" i="7"/>
  <c r="Z53" i="7"/>
  <c r="Y53" i="7"/>
  <c r="Z51" i="7"/>
  <c r="Y51" i="7"/>
  <c r="Z46" i="7"/>
  <c r="Y46" i="7"/>
  <c r="Z42" i="7"/>
  <c r="Y42" i="7"/>
  <c r="Z36" i="7"/>
  <c r="Y36" i="7"/>
  <c r="Z32" i="7"/>
  <c r="Z19" i="7" s="1"/>
  <c r="Y32" i="7"/>
  <c r="Y19" i="7" s="1"/>
  <c r="Z26" i="7"/>
  <c r="Y26" i="7"/>
  <c r="Z20" i="7"/>
  <c r="Y20" i="7"/>
  <c r="Z11" i="7"/>
  <c r="Z8" i="7" s="1"/>
  <c r="Y11" i="7"/>
  <c r="Z10" i="7"/>
  <c r="Z9" i="7"/>
  <c r="I31" i="4" l="1"/>
  <c r="H30" i="4"/>
  <c r="I30" i="4" s="1"/>
  <c r="G29" i="4"/>
  <c r="I29" i="4" s="1"/>
  <c r="L71" i="7"/>
  <c r="K71" i="7"/>
  <c r="L67" i="7"/>
  <c r="K67" i="7"/>
  <c r="L63" i="7"/>
  <c r="K63" i="7"/>
  <c r="L53" i="7"/>
  <c r="K53" i="7"/>
  <c r="L51" i="7"/>
  <c r="K51" i="7"/>
  <c r="L50" i="7"/>
  <c r="K50" i="7"/>
  <c r="L46" i="7"/>
  <c r="L19" i="7" s="1"/>
  <c r="K46" i="7"/>
  <c r="K19" i="7" s="1"/>
  <c r="L42" i="7"/>
  <c r="K42" i="7"/>
  <c r="L36" i="7"/>
  <c r="K36" i="7"/>
  <c r="L32" i="7"/>
  <c r="K32" i="7"/>
  <c r="L26" i="7"/>
  <c r="K26" i="7"/>
  <c r="L20" i="7"/>
  <c r="K20" i="7"/>
  <c r="L13" i="7"/>
  <c r="L11" i="7"/>
  <c r="K11" i="7"/>
  <c r="I38" i="4" l="1"/>
  <c r="P10" i="7" s="1"/>
  <c r="H38" i="4"/>
  <c r="G38" i="4"/>
  <c r="AD71" i="7" l="1"/>
  <c r="AC71" i="7"/>
  <c r="AD67" i="7"/>
  <c r="AC67" i="7"/>
  <c r="AD63" i="7"/>
  <c r="AC63" i="7"/>
  <c r="AD53" i="7"/>
  <c r="AC53" i="7"/>
  <c r="AD51" i="7"/>
  <c r="AC51" i="7"/>
  <c r="AD46" i="7"/>
  <c r="AC46" i="7"/>
  <c r="AD42" i="7"/>
  <c r="AC42" i="7"/>
  <c r="AD36" i="7"/>
  <c r="AC36" i="7"/>
  <c r="AD32" i="7"/>
  <c r="AD19" i="7" s="1"/>
  <c r="AD8" i="7" s="1"/>
  <c r="AC32" i="7"/>
  <c r="AD26" i="7"/>
  <c r="AC26" i="7"/>
  <c r="AD20" i="7"/>
  <c r="AC20" i="7"/>
  <c r="AC19" i="7" s="1"/>
  <c r="AD15" i="7"/>
  <c r="AD11" i="7"/>
  <c r="AC11" i="7"/>
  <c r="AD10" i="7"/>
  <c r="AD9" i="7"/>
  <c r="R71" i="7" l="1"/>
  <c r="Q71" i="7"/>
  <c r="R67" i="7"/>
  <c r="Q67" i="7"/>
  <c r="Q64" i="7"/>
  <c r="R63" i="7"/>
  <c r="Q63" i="7"/>
  <c r="Q58" i="7"/>
  <c r="Q57" i="7"/>
  <c r="Q56" i="7"/>
  <c r="Q55" i="7"/>
  <c r="Q53" i="7" s="1"/>
  <c r="Q54" i="7"/>
  <c r="R53" i="7"/>
  <c r="R52" i="7"/>
  <c r="R51" i="7" s="1"/>
  <c r="Q52" i="7"/>
  <c r="Q51" i="7" s="1"/>
  <c r="R50" i="7"/>
  <c r="Q50" i="7"/>
  <c r="Q47" i="7"/>
  <c r="R46" i="7"/>
  <c r="Q46" i="7"/>
  <c r="Q45" i="7"/>
  <c r="Q44" i="7"/>
  <c r="Q43" i="7"/>
  <c r="R42" i="7"/>
  <c r="Q42" i="7"/>
  <c r="Q41" i="7"/>
  <c r="Q39" i="7"/>
  <c r="Q38" i="7"/>
  <c r="Q36" i="7" s="1"/>
  <c r="R36" i="7"/>
  <c r="R32" i="7"/>
  <c r="Q32" i="7"/>
  <c r="Q31" i="7"/>
  <c r="Q30" i="7"/>
  <c r="Q29" i="7"/>
  <c r="Q28" i="7"/>
  <c r="Q27" i="7"/>
  <c r="R26" i="7"/>
  <c r="Q26" i="7"/>
  <c r="R25" i="7"/>
  <c r="R22" i="7"/>
  <c r="Q22" i="7"/>
  <c r="R21" i="7"/>
  <c r="Q21" i="7"/>
  <c r="Q20" i="7" s="1"/>
  <c r="R20" i="7"/>
  <c r="Q13" i="7"/>
  <c r="R11" i="7"/>
  <c r="Q11" i="7"/>
  <c r="R10" i="7"/>
  <c r="R9" i="7"/>
  <c r="R19" i="7" l="1"/>
  <c r="R8" i="7" s="1"/>
  <c r="Q19" i="7"/>
  <c r="Q8" i="7" s="1"/>
  <c r="H42" i="4" l="1"/>
  <c r="G42" i="4"/>
  <c r="F42" i="4"/>
  <c r="I41" i="4"/>
  <c r="I40" i="4"/>
  <c r="I39" i="4"/>
  <c r="AH71" i="7"/>
  <c r="AG71" i="7"/>
  <c r="AH67" i="7"/>
  <c r="AG67" i="7"/>
  <c r="AH63" i="7"/>
  <c r="AG63" i="7"/>
  <c r="AH53" i="7"/>
  <c r="AG53" i="7"/>
  <c r="AH51" i="7"/>
  <c r="AG51" i="7"/>
  <c r="AG19" i="7" s="1"/>
  <c r="AH46" i="7"/>
  <c r="AG46" i="7"/>
  <c r="AH42" i="7"/>
  <c r="AH19" i="7" s="1"/>
  <c r="AG42" i="7"/>
  <c r="AH36" i="7"/>
  <c r="AG36" i="7"/>
  <c r="AH32" i="7"/>
  <c r="AG32" i="7"/>
  <c r="AH26" i="7"/>
  <c r="AG26" i="7"/>
  <c r="AH20" i="7"/>
  <c r="AG20" i="7"/>
  <c r="AH11" i="7"/>
  <c r="AH8" i="7" s="1"/>
  <c r="AG11" i="7"/>
  <c r="AH9" i="7"/>
  <c r="I42" i="4" l="1"/>
  <c r="AH10" i="7" s="1"/>
  <c r="P8" i="7"/>
  <c r="P71" i="7"/>
  <c r="O71" i="7"/>
  <c r="P67" i="7"/>
  <c r="O67" i="7"/>
  <c r="P63" i="7"/>
  <c r="O63" i="7"/>
  <c r="P53" i="7"/>
  <c r="O53" i="7"/>
  <c r="P51" i="7"/>
  <c r="O51" i="7"/>
  <c r="P46" i="7"/>
  <c r="O46" i="7"/>
  <c r="P42" i="7"/>
  <c r="O42" i="7"/>
  <c r="P36" i="7"/>
  <c r="O36" i="7"/>
  <c r="P32" i="7"/>
  <c r="O32" i="7"/>
  <c r="P26" i="7"/>
  <c r="O26" i="7"/>
  <c r="P20" i="7"/>
  <c r="P19" i="7" s="1"/>
  <c r="O19" i="7"/>
  <c r="P11" i="7"/>
  <c r="O11" i="7"/>
  <c r="H21" i="4" l="1"/>
  <c r="G21" i="4"/>
  <c r="F21" i="4"/>
  <c r="I20" i="4"/>
  <c r="I19" i="4"/>
  <c r="I18" i="4"/>
  <c r="I16" i="4"/>
  <c r="I15" i="4"/>
  <c r="I14" i="4"/>
  <c r="I13" i="4"/>
  <c r="I12" i="4"/>
  <c r="I11" i="4"/>
  <c r="F71" i="7"/>
  <c r="E71" i="7"/>
  <c r="F67" i="7"/>
  <c r="E67" i="7"/>
  <c r="F63" i="7"/>
  <c r="E63" i="7"/>
  <c r="F53" i="7"/>
  <c r="E53" i="7"/>
  <c r="F51" i="7"/>
  <c r="E51" i="7"/>
  <c r="F46" i="7"/>
  <c r="E46" i="7"/>
  <c r="F42" i="7"/>
  <c r="E42" i="7"/>
  <c r="F36" i="7"/>
  <c r="E36" i="7"/>
  <c r="E19" i="7" s="1"/>
  <c r="F32" i="7"/>
  <c r="F19" i="7" s="1"/>
  <c r="F8" i="7" s="1"/>
  <c r="E32" i="7"/>
  <c r="F26" i="7"/>
  <c r="E26" i="7"/>
  <c r="F20" i="7"/>
  <c r="E20" i="7"/>
  <c r="F11" i="7"/>
  <c r="E11" i="7"/>
  <c r="E10" i="7"/>
  <c r="F9" i="7"/>
  <c r="E9" i="7"/>
  <c r="I21" i="4" l="1"/>
  <c r="F10" i="7" s="1"/>
  <c r="AF71" i="7" l="1"/>
  <c r="AE71" i="7"/>
  <c r="AF67" i="7"/>
  <c r="AE67" i="7"/>
  <c r="AF63" i="7"/>
  <c r="AE63" i="7"/>
  <c r="AF53" i="7"/>
  <c r="AE53" i="7"/>
  <c r="AF51" i="7"/>
  <c r="AE51" i="7"/>
  <c r="AF46" i="7"/>
  <c r="AE46" i="7"/>
  <c r="AF42" i="7"/>
  <c r="AE42" i="7"/>
  <c r="AF36" i="7"/>
  <c r="AE36" i="7"/>
  <c r="AF32" i="7"/>
  <c r="AE32" i="7"/>
  <c r="AF26" i="7"/>
  <c r="AE26" i="7"/>
  <c r="AF20" i="7"/>
  <c r="AE20" i="7"/>
  <c r="AE19" i="7" s="1"/>
  <c r="AF19" i="7"/>
  <c r="AF11" i="7"/>
  <c r="AE11" i="7"/>
  <c r="X71" i="7" l="1"/>
  <c r="W71" i="7"/>
  <c r="X67" i="7"/>
  <c r="W67" i="7"/>
  <c r="X63" i="7"/>
  <c r="W63" i="7"/>
  <c r="X53" i="7"/>
  <c r="W53" i="7"/>
  <c r="X51" i="7"/>
  <c r="W51" i="7"/>
  <c r="X46" i="7"/>
  <c r="W46" i="7"/>
  <c r="X42" i="7"/>
  <c r="W42" i="7"/>
  <c r="X36" i="7"/>
  <c r="X19" i="7" s="1"/>
  <c r="X8" i="7" s="1"/>
  <c r="W36" i="7"/>
  <c r="X32" i="7"/>
  <c r="W32" i="7"/>
  <c r="X26" i="7"/>
  <c r="W26" i="7"/>
  <c r="X20" i="7"/>
  <c r="W20" i="7"/>
  <c r="W19" i="7" s="1"/>
  <c r="W8" i="7" s="1"/>
  <c r="X11" i="7"/>
  <c r="W11" i="7"/>
  <c r="X10" i="7"/>
  <c r="W10" i="7"/>
  <c r="X9" i="7"/>
  <c r="W9" i="7"/>
  <c r="H24" i="4" l="1"/>
  <c r="I24" i="4"/>
  <c r="F24" i="4"/>
  <c r="I49" i="4" l="1"/>
  <c r="AF10" i="7" s="1"/>
  <c r="F86" i="3" l="1"/>
  <c r="G86" i="3"/>
  <c r="H86" i="3"/>
  <c r="I86" i="3"/>
  <c r="I85" i="3"/>
  <c r="I84" i="3"/>
  <c r="G11" i="7" l="1"/>
  <c r="G53" i="7"/>
  <c r="F45" i="4" l="1"/>
  <c r="F28" i="4"/>
  <c r="F26" i="4"/>
  <c r="F32" i="4" l="1"/>
  <c r="F60" i="4" l="1"/>
  <c r="I32" i="4" l="1"/>
  <c r="H53" i="7" l="1"/>
  <c r="G51" i="7"/>
  <c r="H51" i="7"/>
  <c r="G46" i="7"/>
  <c r="H46" i="7"/>
  <c r="G42" i="7"/>
  <c r="H42" i="7"/>
  <c r="G36" i="7"/>
  <c r="H36" i="7"/>
  <c r="G32" i="7"/>
  <c r="H32" i="7"/>
  <c r="G26" i="7"/>
  <c r="H26" i="7"/>
  <c r="G20" i="7"/>
  <c r="H20" i="7"/>
  <c r="H11" i="7"/>
  <c r="G67" i="7"/>
  <c r="H67" i="7"/>
  <c r="G63" i="7"/>
  <c r="H63" i="7"/>
  <c r="G19" i="7" l="1"/>
  <c r="H19" i="7"/>
  <c r="G27" i="4" l="1"/>
  <c r="G26" i="4" l="1"/>
  <c r="H26" i="4"/>
  <c r="I26" i="4"/>
  <c r="H10" i="7" l="1"/>
  <c r="G22" i="4"/>
  <c r="G24" i="4" s="1"/>
  <c r="G45" i="4" l="1"/>
  <c r="H45" i="4"/>
  <c r="I45" i="4"/>
  <c r="D71" i="7" l="1"/>
  <c r="C71" i="7"/>
  <c r="D67" i="7"/>
  <c r="C67" i="7"/>
  <c r="D63" i="7"/>
  <c r="C63" i="7"/>
  <c r="D53" i="7"/>
  <c r="C53" i="7"/>
  <c r="D51" i="7"/>
  <c r="C51" i="7"/>
  <c r="D46" i="7"/>
  <c r="C46" i="7"/>
  <c r="D42" i="7"/>
  <c r="C42" i="7"/>
  <c r="D36" i="7"/>
  <c r="C36" i="7"/>
  <c r="D32" i="7"/>
  <c r="C32" i="7"/>
  <c r="D26" i="7"/>
  <c r="C26" i="7"/>
  <c r="D20" i="7"/>
  <c r="C20" i="7"/>
  <c r="D11" i="7"/>
  <c r="C11" i="7"/>
  <c r="D9" i="7"/>
  <c r="D19" i="7" l="1"/>
  <c r="D8" i="7" s="1"/>
  <c r="C19" i="7"/>
  <c r="G60" i="4" l="1"/>
  <c r="H60" i="4" l="1"/>
  <c r="I83" i="3" l="1"/>
  <c r="H9" i="7" l="1"/>
  <c r="F10" i="4" l="1"/>
  <c r="I28" i="4" l="1"/>
  <c r="I60" i="4" s="1"/>
  <c r="G80" i="3" l="1"/>
  <c r="H71" i="7" l="1"/>
  <c r="G71" i="7"/>
  <c r="H8" i="7" l="1"/>
  <c r="G8" i="4" l="1"/>
  <c r="F29" i="3" l="1"/>
  <c r="G30" i="3" l="1"/>
  <c r="F81" i="3" l="1"/>
  <c r="I10" i="4" l="1"/>
  <c r="D10" i="7" s="1"/>
  <c r="G9" i="4" l="1"/>
  <c r="G7" i="4"/>
  <c r="G6" i="4" l="1"/>
  <c r="G5" i="4"/>
  <c r="G4" i="4"/>
  <c r="G10" i="4" l="1"/>
  <c r="G56" i="3" l="1"/>
  <c r="G79" i="3" l="1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I55" i="3"/>
  <c r="F55" i="3"/>
  <c r="F89" i="3" s="1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I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55" i="3" l="1"/>
  <c r="G29" i="3"/>
  <c r="G81" i="3"/>
  <c r="G89" i="3" s="1"/>
  <c r="I81" i="3"/>
  <c r="I89" i="3" s="1"/>
</calcChain>
</file>

<file path=xl/sharedStrings.xml><?xml version="1.0" encoding="utf-8"?>
<sst xmlns="http://schemas.openxmlformats.org/spreadsheetml/2006/main" count="416" uniqueCount="177">
  <si>
    <t>Данс</t>
  </si>
  <si>
    <t>Үзүүлэлт</t>
  </si>
  <si>
    <t>Мөнгөн хөрөнгийн эцсийн үлдэгдэл</t>
  </si>
  <si>
    <t>ӨГЛӨГ</t>
  </si>
  <si>
    <t>НИЙТ ОРЛОГО</t>
  </si>
  <si>
    <t>Улсын төсвөөс санхүүжих</t>
  </si>
  <si>
    <t>ЭМДСангаас санхүүжих</t>
  </si>
  <si>
    <t>Үндсэн үйл ажиллагааны орлого</t>
  </si>
  <si>
    <t>Туслах үйл ажиллагааны орлого</t>
  </si>
  <si>
    <t>НИЙТ ЗАРЛАГА</t>
  </si>
  <si>
    <t>Цалин хөлс нэмэгдэл урамшуулал</t>
  </si>
  <si>
    <t>Унаа хоолны хөнгөлөлт</t>
  </si>
  <si>
    <t>Урамшуулал</t>
  </si>
  <si>
    <t>Ажил олгогчоос төлөх НДШ</t>
  </si>
  <si>
    <t>Тэтгэврийн даатгал</t>
  </si>
  <si>
    <t>Тэтгэмжийн даатгал</t>
  </si>
  <si>
    <t>ҮОМШӨ-ний даатгал</t>
  </si>
  <si>
    <t>Ажилгүйдлийн даатгал</t>
  </si>
  <si>
    <t>Эрүүл мэндийн даатгал</t>
  </si>
  <si>
    <t xml:space="preserve">Байр ашиглалттай холбоотой </t>
  </si>
  <si>
    <t>Гэрэл цахилгаан</t>
  </si>
  <si>
    <t>Түлш халаалт</t>
  </si>
  <si>
    <t>Цэвэр, бохир ус</t>
  </si>
  <si>
    <t>Хангамж, бараа материалын зардал</t>
  </si>
  <si>
    <t>Бичиг хэрэг</t>
  </si>
  <si>
    <t>Тээвэр шатахуун</t>
  </si>
  <si>
    <t>Шуудан холбоо интернет</t>
  </si>
  <si>
    <t>Хог хаягдал зайлуулах</t>
  </si>
  <si>
    <t>Бага үнэтэй түргэн элэгдэх зүйл</t>
  </si>
  <si>
    <t>Нормативт зардал</t>
  </si>
  <si>
    <t>Эм бэлдмэл, эмнэлгийн хэрэгсэл</t>
  </si>
  <si>
    <t>Хоол</t>
  </si>
  <si>
    <t>Нормын хувцас, зөөлөн эдлэл</t>
  </si>
  <si>
    <t>Эд хогшил, урсгал засвар</t>
  </si>
  <si>
    <t>Багаж хэрэгсэл</t>
  </si>
  <si>
    <t>Тавилга</t>
  </si>
  <si>
    <t>Хөдөлмөр хамгааллын хэрэгсэл</t>
  </si>
  <si>
    <t>Урсгал засвар</t>
  </si>
  <si>
    <t>Томилолт зочны зардал</t>
  </si>
  <si>
    <t>Дотоод албан томилолт</t>
  </si>
  <si>
    <t>Бусдаар гүйцэтгүүлэх ажил, үйлчилгээ</t>
  </si>
  <si>
    <t>Аудит баталгаажуулалт</t>
  </si>
  <si>
    <t>Даатгал</t>
  </si>
  <si>
    <t xml:space="preserve">Тээврийн хэрэгслийн татвар </t>
  </si>
  <si>
    <t>Тээврийн хэрэгслийн оношлогоо</t>
  </si>
  <si>
    <t>Мэдээлэл технологийн үйлчилгээ</t>
  </si>
  <si>
    <t>Газрын төлбөр</t>
  </si>
  <si>
    <t xml:space="preserve">Банк санхүүгийн төлбөр </t>
  </si>
  <si>
    <t>Улсын мэдээллийн маягт хэвлүүлэх</t>
  </si>
  <si>
    <t>Хичээл үйлдвэрлэлийн дадлага</t>
  </si>
  <si>
    <t>Бараа үйлчилгээний бусад зардал</t>
  </si>
  <si>
    <t>Ажил олгогчоос олгох тэтгэмж</t>
  </si>
  <si>
    <t>Тэтгэвэрт гарахад олгох тэтгэмж</t>
  </si>
  <si>
    <t>Хөдөө орон нутагт тогтвор суурьшилтай</t>
  </si>
  <si>
    <t>Нэг удаагийн тэтгэмж</t>
  </si>
  <si>
    <t>АЖИЛЧДЫН ТОО</t>
  </si>
  <si>
    <t xml:space="preserve">Удирдах </t>
  </si>
  <si>
    <t>Гүйцэтгэх</t>
  </si>
  <si>
    <t>Үйлчлэх</t>
  </si>
  <si>
    <t>Байгууллагын дансны дугаар</t>
  </si>
  <si>
    <t>Хөтөлбөр</t>
  </si>
  <si>
    <t>Тайлбар</t>
  </si>
  <si>
    <t>1.Эрүүл мэндийн газар</t>
  </si>
  <si>
    <t>АВЛАГА</t>
  </si>
  <si>
    <t>НДЗ орлого</t>
  </si>
  <si>
    <t>Даатгалын төлбөр /лист/</t>
  </si>
  <si>
    <t>Тендерийн орлого</t>
  </si>
  <si>
    <t xml:space="preserve">Бусад нийтлэг хураамж </t>
  </si>
  <si>
    <t>Үндсэн цалин</t>
  </si>
  <si>
    <t>Нэмэгдэл</t>
  </si>
  <si>
    <t>Төлөвлөгөө</t>
  </si>
  <si>
    <t>Гүйцэтгэл</t>
  </si>
  <si>
    <t>Тамга</t>
  </si>
  <si>
    <t>З. ЗӨСТ</t>
  </si>
  <si>
    <t>БОЭТ</t>
  </si>
  <si>
    <t>дансны дугаар 100110020005</t>
  </si>
  <si>
    <t>дансны дугаар 100110020001</t>
  </si>
  <si>
    <t>дансны дугаар 100110020002</t>
  </si>
  <si>
    <t>Байгууллагын нэр</t>
  </si>
  <si>
    <t>Хөтөлбөр кодоор</t>
  </si>
  <si>
    <t>Зориулалт кодоор</t>
  </si>
  <si>
    <t>Эдийн засгийн ангилал кодоор</t>
  </si>
  <si>
    <t>ЭМГазар</t>
  </si>
  <si>
    <t>НДШ</t>
  </si>
  <si>
    <t>Тээвэр,шатахуун</t>
  </si>
  <si>
    <t>ДҮН</t>
  </si>
  <si>
    <t>Шуудан холбоо</t>
  </si>
  <si>
    <t>Хог хаягдал</t>
  </si>
  <si>
    <t>БҮТЭЗ</t>
  </si>
  <si>
    <t>Эм</t>
  </si>
  <si>
    <t>Банкны хураамж</t>
  </si>
  <si>
    <t>ЗӨСТөв</t>
  </si>
  <si>
    <t>Албан томилолт</t>
  </si>
  <si>
    <t>НИЙТ ДҮН</t>
  </si>
  <si>
    <t xml:space="preserve"> </t>
  </si>
  <si>
    <t>МЭДЭЭ АВЧ, НЭГТГЭСЭН: ЭМГ-ЫН ЭДИЙН ЗАСАГЧ                                            М. НЯМДУЛАМ</t>
  </si>
  <si>
    <t>Гэрэл,цахилгаан</t>
  </si>
  <si>
    <t>Түлш,халаалт</t>
  </si>
  <si>
    <t>Цэвэр,бохир ус</t>
  </si>
  <si>
    <t>Нормын хувцас</t>
  </si>
  <si>
    <t>Багаж, техник хэрэгсэл</t>
  </si>
  <si>
    <t>Аудит</t>
  </si>
  <si>
    <t>Тээврийн хэрэгслийн татвар</t>
  </si>
  <si>
    <t>Өглөг үүссэн шалтгаан</t>
  </si>
  <si>
    <t>Өглөгийн төлж барагдуулах арга зам</t>
  </si>
  <si>
    <t>нэр данс зөрүү</t>
  </si>
  <si>
    <t>гэрээт цалин</t>
  </si>
  <si>
    <t>МЭДЭЭ АВЧ, НЭГТГЭСЭН: ЭМГ-ЫН ЭДИЙН ЗАСАГЧ                                         М. НЯМДУЛАМ</t>
  </si>
  <si>
    <t>Авлагын эхний үлдэгдэл /2020.2.31/</t>
  </si>
  <si>
    <t>Өглөгийн эхний үлдэгдэл /2020.09.01/</t>
  </si>
  <si>
    <t>Өглөгийн эцсийн үлдэгдэл /2020.09.30/</t>
  </si>
  <si>
    <t>Авлагын эцсийн үлдэгдэл /2020.09.30/</t>
  </si>
  <si>
    <t>Цэвэр бохир</t>
  </si>
  <si>
    <t>Баяндалай</t>
  </si>
  <si>
    <t>4.Баяндалай</t>
  </si>
  <si>
    <t>5. Булган</t>
  </si>
  <si>
    <t>6. Баян-Овоо</t>
  </si>
  <si>
    <t>7.Гурвантэс</t>
  </si>
  <si>
    <t>8. Сэврэй</t>
  </si>
  <si>
    <t>11. Манлай</t>
  </si>
  <si>
    <t>12.Мандал-Овоо</t>
  </si>
  <si>
    <t>13. Ханхонгор</t>
  </si>
  <si>
    <t>15. Хүрмэн</t>
  </si>
  <si>
    <t>16. Цогт-Овоо</t>
  </si>
  <si>
    <t>16. Цогтцэций</t>
  </si>
  <si>
    <t>Өглөгийн  бууралт/-/</t>
  </si>
  <si>
    <t>Өглөгийн өсөлт/+/</t>
  </si>
  <si>
    <t>Авлага өсөлт/+/</t>
  </si>
  <si>
    <t>Авлага  бууралт/-/</t>
  </si>
  <si>
    <t>Гурвантэс</t>
  </si>
  <si>
    <t>Дүн</t>
  </si>
  <si>
    <t>дансны дугаар 100110420010</t>
  </si>
  <si>
    <t>дансны дугаар 100110020010</t>
  </si>
  <si>
    <t>дансны дугаар 100111220010</t>
  </si>
  <si>
    <t>Булган</t>
  </si>
  <si>
    <t>Цогт-Овоо</t>
  </si>
  <si>
    <t>дансны дугаар 100111320010</t>
  </si>
  <si>
    <t>дансны дугаар 100110920010</t>
  </si>
  <si>
    <t>дансны дугаар 100110120010</t>
  </si>
  <si>
    <t>ЭРҮҮЛ МЭНДИЙН ГАЗРИЙН ДАРГЫГ ТҮР ОРЛОН ГҮЙЦЭТГЭГЧ            ......................./  Д.ЭНХМАНДАХ     /</t>
  </si>
  <si>
    <t>дансны дугаар 100110220010</t>
  </si>
  <si>
    <t>дансны дугаар 100110620010</t>
  </si>
  <si>
    <t>Хүрмэн</t>
  </si>
  <si>
    <t>14. Ханбогд</t>
  </si>
  <si>
    <t>дансны дугаар 100111020010 .100111020001</t>
  </si>
  <si>
    <t>Манлай ЭМТ</t>
  </si>
  <si>
    <t>71602/80302/210101</t>
  </si>
  <si>
    <t xml:space="preserve">Дарга амралттай </t>
  </si>
  <si>
    <t>төсөв байгаа 9сард барагдуулна</t>
  </si>
  <si>
    <t>71602/80302/210201</t>
  </si>
  <si>
    <t xml:space="preserve">төрийн санч амралттай </t>
  </si>
  <si>
    <t>ӨМНӨГОВЬ АЙМГИЙН ЭРҮҮЛ МЭНДИЙН БАЙГУУЛЛАГУУДЫН 2022 ОНЫ  8 РСАРЫН 01-НИЙ БАЙДЛААРХ АВЛАГЫН МЭДЭЭ</t>
  </si>
  <si>
    <t>Хүрмэн ЭМТ</t>
  </si>
  <si>
    <t>ЗӨСТ</t>
  </si>
  <si>
    <t>Цогтцэций ЭМТ</t>
  </si>
  <si>
    <t>10. Номгон</t>
  </si>
  <si>
    <t>дансны дугаар 100110720010</t>
  </si>
  <si>
    <t>Баян-Овоо ЭМТ</t>
  </si>
  <si>
    <t>Санхүүжилт хүрээгүй</t>
  </si>
  <si>
    <t>дансны дугаар 100111120010</t>
  </si>
  <si>
    <t>14. НОЁН</t>
  </si>
  <si>
    <t>дансны дугаар 100110820010 .100110820001</t>
  </si>
  <si>
    <t>төсөв хүрээгүй</t>
  </si>
  <si>
    <t>ЭРҮҮЛ МЭНДИЙН ЭДИЙН ЗАСАГЧ................................................/      М.НЯМДУЛАМ        /</t>
  </si>
  <si>
    <t>ханхонгор ЭМТ</t>
  </si>
  <si>
    <t>санхүүжилт</t>
  </si>
  <si>
    <t>Шуудан холбооны өглөг</t>
  </si>
  <si>
    <t>Байгууллагад төлөх өглөг</t>
  </si>
  <si>
    <t xml:space="preserve">                       ..........ӨМНӨГОВЬ.....АЙМГИЙН ЭРҮҮЛ МЭНДИЙН БАЙГУУЛЛАГУУДЫН 10-Р САРЫН ТӨСВИЙН ГҮЙЦЭТГЭЛИЙН МЭДЭЭ</t>
  </si>
  <si>
    <t>2022оны 11-р сарын 01-ны өдөр</t>
  </si>
  <si>
    <t>Гүйлгээ буцсан.</t>
  </si>
  <si>
    <t>11 сард төлнө.</t>
  </si>
  <si>
    <t>-</t>
  </si>
  <si>
    <t>11 сард төлөх</t>
  </si>
  <si>
    <t>Номгон СЭМТөв</t>
  </si>
  <si>
    <t>Номгон ЭМТөв</t>
  </si>
  <si>
    <t>ӨМНӨГОВЬ АЙМГИЙН ЭРҮҮЛ МЭНДИЙН БАЙГУУЛЛАГУУДЫН 2022 ОНЫ 11-РСАРЫН 01-НИЙ БАЙДЛААРХ ӨГЛӨГИЙН МЭДЭЭ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</si>
</sst>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-* #,##0.00_₮_-;\-* #,##0.00_₮_-;_-* &quot;-&quot;??_₮_-;_-@_-"/>
    <numFmt numFmtId="165" formatCode="_(* #,##0_);_(* \(#,##0\);_(* &quot;-&quot;??_);_(@_)"/>
    <numFmt numFmtId="166" formatCode="_-* #,##0_₮_-;\-* #,##0_₮_-;_-* &quot;-&quot;??_₮_-;_-@_-"/>
    <numFmt numFmtId="167" formatCode="_-* #,##0.0_₮_-;\-* #,##0.0_₮_-;_-* &quot;-&quot;??_₮_-;_-@_-"/>
    <numFmt numFmtId="168" formatCode="#,###.00"/>
    <numFmt numFmtId="169" formatCode="#,##0.0"/>
    <numFmt numFmtId="170" formatCode="#,###.0"/>
    <numFmt numFmtId="171" formatCode="_(* #,##0.0_);_(* \(#,##0.0\);_(* &quot;-&quot;?_);_(@_)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 Mon"/>
      <family val="1"/>
    </font>
    <font>
      <sz val="10"/>
      <name val="Times New Roman Mon"/>
      <family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</font>
    <font>
      <sz val="10"/>
      <name val="Arial Mon"/>
      <family val="2"/>
    </font>
    <font>
      <b/>
      <sz val="10"/>
      <name val="Times New Roman"/>
      <family val="1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 Mon"/>
    </font>
    <font>
      <sz val="10"/>
      <name val="Arial Mon"/>
    </font>
    <font>
      <b/>
      <sz val="10"/>
      <name val="Arial Mon"/>
      <family val="2"/>
    </font>
    <font>
      <b/>
      <sz val="10"/>
      <name val="Times New Roman Mon"/>
    </font>
    <font>
      <sz val="10"/>
      <name val="Times New Roman"/>
      <family val="1"/>
    </font>
    <font>
      <sz val="11"/>
      <name val="Times New Roman Mon"/>
      <family val="1"/>
    </font>
    <font>
      <sz val="10"/>
      <color theme="1"/>
      <name val="Calibri"/>
      <family val="2"/>
      <scheme val="minor"/>
    </font>
    <font>
      <sz val="11"/>
      <name val="Arial Mon"/>
      <family val="2"/>
    </font>
    <font>
      <b/>
      <sz val="11"/>
      <color rgb="FFFF0000"/>
      <name val="Arial Mon"/>
    </font>
    <font>
      <b/>
      <sz val="11"/>
      <name val="Times New Roman Mon"/>
      <family val="1"/>
    </font>
    <font>
      <sz val="10"/>
      <color theme="1"/>
      <name val="Times New Roman Mo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</cellStyleXfs>
  <cellXfs count="144">
    <xf numFmtId="0" fontId="0" fillId="0" borderId="0" xfId="0"/>
    <xf numFmtId="0" fontId="3" fillId="2" borderId="0" xfId="0" applyFont="1" applyFill="1"/>
    <xf numFmtId="1" fontId="3" fillId="2" borderId="0" xfId="0" applyNumberFormat="1" applyFont="1" applyFill="1"/>
    <xf numFmtId="1" fontId="7" fillId="2" borderId="5" xfId="0" applyNumberFormat="1" applyFont="1" applyFill="1" applyBorder="1"/>
    <xf numFmtId="0" fontId="7" fillId="2" borderId="5" xfId="0" applyFont="1" applyFill="1" applyBorder="1"/>
    <xf numFmtId="0" fontId="3" fillId="2" borderId="5" xfId="0" applyFont="1" applyFill="1" applyBorder="1"/>
    <xf numFmtId="1" fontId="3" fillId="2" borderId="5" xfId="0" applyNumberFormat="1" applyFont="1" applyFill="1" applyBorder="1"/>
    <xf numFmtId="1" fontId="3" fillId="2" borderId="5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0" fillId="2" borderId="5" xfId="0" applyFill="1" applyBorder="1" applyAlignment="1">
      <alignment vertical="center" wrapText="1"/>
    </xf>
    <xf numFmtId="0" fontId="7" fillId="2" borderId="0" xfId="0" applyFont="1" applyFill="1"/>
    <xf numFmtId="165" fontId="4" fillId="2" borderId="5" xfId="1" applyNumberFormat="1" applyFont="1" applyFill="1" applyBorder="1"/>
    <xf numFmtId="165" fontId="4" fillId="2" borderId="5" xfId="1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165" fontId="7" fillId="2" borderId="5" xfId="1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/>
    </xf>
    <xf numFmtId="165" fontId="3" fillId="2" borderId="0" xfId="1" applyNumberFormat="1" applyFont="1" applyFill="1"/>
    <xf numFmtId="49" fontId="3" fillId="2" borderId="5" xfId="1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/>
    <xf numFmtId="165" fontId="5" fillId="2" borderId="5" xfId="1" applyNumberFormat="1" applyFont="1" applyFill="1" applyBorder="1"/>
    <xf numFmtId="165" fontId="4" fillId="2" borderId="0" xfId="1" applyNumberFormat="1" applyFont="1" applyFill="1"/>
    <xf numFmtId="0" fontId="2" fillId="2" borderId="0" xfId="0" applyFont="1" applyFill="1" applyAlignment="1"/>
    <xf numFmtId="1" fontId="7" fillId="2" borderId="5" xfId="0" applyNumberFormat="1" applyFont="1" applyFill="1" applyBorder="1" applyAlignment="1">
      <alignment vertical="center"/>
    </xf>
    <xf numFmtId="167" fontId="3" fillId="2" borderId="5" xfId="1" applyNumberFormat="1" applyFont="1" applyFill="1" applyBorder="1"/>
    <xf numFmtId="167" fontId="3" fillId="2" borderId="5" xfId="1" applyNumberFormat="1" applyFont="1" applyFill="1" applyBorder="1" applyAlignment="1">
      <alignment vertical="center"/>
    </xf>
    <xf numFmtId="167" fontId="7" fillId="2" borderId="5" xfId="1" applyNumberFormat="1" applyFont="1" applyFill="1" applyBorder="1"/>
    <xf numFmtId="167" fontId="2" fillId="2" borderId="5" xfId="1" applyNumberFormat="1" applyFont="1" applyFill="1" applyBorder="1"/>
    <xf numFmtId="165" fontId="8" fillId="2" borderId="5" xfId="1" applyNumberFormat="1" applyFont="1" applyFill="1" applyBorder="1"/>
    <xf numFmtId="0" fontId="11" fillId="0" borderId="0" xfId="0" applyFont="1"/>
    <xf numFmtId="0" fontId="11" fillId="2" borderId="0" xfId="0" applyFont="1" applyFill="1"/>
    <xf numFmtId="49" fontId="11" fillId="2" borderId="5" xfId="0" applyNumberFormat="1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5" xfId="0" applyFont="1" applyFill="1" applyBorder="1"/>
    <xf numFmtId="167" fontId="11" fillId="2" borderId="5" xfId="1" applyNumberFormat="1" applyFont="1" applyFill="1" applyBorder="1"/>
    <xf numFmtId="164" fontId="11" fillId="2" borderId="5" xfId="1" applyNumberFormat="1" applyFont="1" applyFill="1" applyBorder="1"/>
    <xf numFmtId="167" fontId="12" fillId="2" borderId="5" xfId="1" applyNumberFormat="1" applyFont="1" applyFill="1" applyBorder="1"/>
    <xf numFmtId="168" fontId="13" fillId="0" borderId="5" xfId="0" applyNumberFormat="1" applyFont="1" applyFill="1" applyBorder="1"/>
    <xf numFmtId="43" fontId="13" fillId="0" borderId="5" xfId="2" applyFont="1" applyBorder="1" applyAlignment="1">
      <alignment horizontal="right"/>
    </xf>
    <xf numFmtId="169" fontId="13" fillId="0" borderId="5" xfId="0" applyNumberFormat="1" applyFont="1" applyBorder="1" applyAlignment="1">
      <alignment horizontal="right"/>
    </xf>
    <xf numFmtId="164" fontId="13" fillId="0" borderId="5" xfId="1" applyFont="1" applyBorder="1" applyAlignment="1">
      <alignment horizontal="right"/>
    </xf>
    <xf numFmtId="164" fontId="11" fillId="2" borderId="5" xfId="1" applyFont="1" applyFill="1" applyBorder="1"/>
    <xf numFmtId="0" fontId="11" fillId="2" borderId="5" xfId="0" applyFont="1" applyFill="1" applyBorder="1" applyAlignment="1">
      <alignment horizontal="center" vertical="center"/>
    </xf>
    <xf numFmtId="0" fontId="12" fillId="2" borderId="5" xfId="0" applyFont="1" applyFill="1" applyBorder="1"/>
    <xf numFmtId="0" fontId="11" fillId="2" borderId="5" xfId="0" applyFont="1" applyFill="1" applyBorder="1" applyAlignment="1"/>
    <xf numFmtId="166" fontId="11" fillId="2" borderId="5" xfId="1" applyNumberFormat="1" applyFont="1" applyFill="1" applyBorder="1"/>
    <xf numFmtId="0" fontId="11" fillId="2" borderId="0" xfId="0" applyFont="1" applyFill="1" applyBorder="1"/>
    <xf numFmtId="166" fontId="11" fillId="2" borderId="0" xfId="1" applyNumberFormat="1" applyFont="1" applyFill="1" applyBorder="1"/>
    <xf numFmtId="43" fontId="11" fillId="2" borderId="0" xfId="0" applyNumberFormat="1" applyFont="1" applyFill="1"/>
    <xf numFmtId="4" fontId="11" fillId="2" borderId="0" xfId="0" applyNumberFormat="1" applyFont="1" applyFill="1" applyAlignment="1">
      <alignment horizontal="right"/>
    </xf>
    <xf numFmtId="4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164" fontId="12" fillId="2" borderId="5" xfId="1" applyNumberFormat="1" applyFont="1" applyFill="1" applyBorder="1"/>
    <xf numFmtId="0" fontId="15" fillId="3" borderId="5" xfId="0" applyFont="1" applyFill="1" applyBorder="1" applyAlignment="1">
      <alignment horizontal="center"/>
    </xf>
    <xf numFmtId="0" fontId="15" fillId="3" borderId="5" xfId="0" applyFont="1" applyFill="1" applyBorder="1"/>
    <xf numFmtId="167" fontId="14" fillId="3" borderId="5" xfId="1" applyNumberFormat="1" applyFont="1" applyFill="1" applyBorder="1"/>
    <xf numFmtId="164" fontId="14" fillId="3" borderId="5" xfId="1" applyNumberFormat="1" applyFont="1" applyFill="1" applyBorder="1"/>
    <xf numFmtId="0" fontId="14" fillId="3" borderId="5" xfId="0" applyFont="1" applyFill="1" applyBorder="1" applyAlignment="1">
      <alignment horizontal="right"/>
    </xf>
    <xf numFmtId="0" fontId="14" fillId="3" borderId="5" xfId="0" applyFont="1" applyFill="1" applyBorder="1"/>
    <xf numFmtId="166" fontId="14" fillId="3" borderId="5" xfId="1" applyNumberFormat="1" applyFont="1" applyFill="1" applyBorder="1"/>
    <xf numFmtId="0" fontId="11" fillId="3" borderId="5" xfId="0" applyFont="1" applyFill="1" applyBorder="1"/>
    <xf numFmtId="167" fontId="11" fillId="3" borderId="5" xfId="1" applyNumberFormat="1" applyFont="1" applyFill="1" applyBorder="1"/>
    <xf numFmtId="164" fontId="11" fillId="3" borderId="5" xfId="1" applyNumberFormat="1" applyFont="1" applyFill="1" applyBorder="1"/>
    <xf numFmtId="165" fontId="3" fillId="2" borderId="5" xfId="1" applyNumberFormat="1" applyFont="1" applyFill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right"/>
    </xf>
    <xf numFmtId="0" fontId="3" fillId="2" borderId="0" xfId="0" applyFont="1" applyFill="1" applyAlignment="1">
      <alignment horizontal="center"/>
    </xf>
    <xf numFmtId="165" fontId="3" fillId="2" borderId="5" xfId="1" applyNumberFormat="1" applyFont="1" applyFill="1" applyBorder="1" applyAlignment="1">
      <alignment horizontal="center" vertical="center" wrapText="1"/>
    </xf>
    <xf numFmtId="167" fontId="16" fillId="2" borderId="5" xfId="1" applyNumberFormat="1" applyFont="1" applyFill="1" applyBorder="1"/>
    <xf numFmtId="0" fontId="0" fillId="2" borderId="0" xfId="0" applyFill="1"/>
    <xf numFmtId="167" fontId="14" fillId="4" borderId="5" xfId="1" applyNumberFormat="1" applyFont="1" applyFill="1" applyBorder="1"/>
    <xf numFmtId="170" fontId="13" fillId="0" borderId="5" xfId="0" applyNumberFormat="1" applyFont="1" applyFill="1" applyBorder="1"/>
    <xf numFmtId="167" fontId="11" fillId="2" borderId="5" xfId="1" applyNumberFormat="1" applyFont="1" applyFill="1" applyBorder="1" applyAlignment="1">
      <alignment horizontal="left"/>
    </xf>
    <xf numFmtId="167" fontId="18" fillId="2" borderId="5" xfId="1" applyNumberFormat="1" applyFont="1" applyFill="1" applyBorder="1"/>
    <xf numFmtId="167" fontId="19" fillId="2" borderId="5" xfId="1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1" fontId="20" fillId="2" borderId="6" xfId="0" applyNumberFormat="1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165" fontId="20" fillId="2" borderId="5" xfId="1" applyNumberFormat="1" applyFont="1" applyFill="1" applyBorder="1"/>
    <xf numFmtId="165" fontId="20" fillId="2" borderId="5" xfId="1" applyNumberFormat="1" applyFont="1" applyFill="1" applyBorder="1" applyAlignment="1">
      <alignment horizontal="center" vertical="center" wrapText="1"/>
    </xf>
    <xf numFmtId="0" fontId="20" fillId="2" borderId="0" xfId="0" applyFont="1" applyFill="1"/>
    <xf numFmtId="164" fontId="11" fillId="2" borderId="5" xfId="1" applyFont="1" applyFill="1" applyBorder="1" applyAlignment="1">
      <alignment horizontal="right"/>
    </xf>
    <xf numFmtId="0" fontId="11" fillId="2" borderId="0" xfId="0" applyFont="1" applyFill="1" applyAlignment="1">
      <alignment horizontal="center"/>
    </xf>
    <xf numFmtId="0" fontId="11" fillId="2" borderId="4" xfId="0" applyFont="1" applyFill="1" applyBorder="1" applyAlignment="1">
      <alignment horizontal="center" vertical="center"/>
    </xf>
    <xf numFmtId="167" fontId="11" fillId="0" borderId="0" xfId="1" applyNumberFormat="1" applyFont="1"/>
    <xf numFmtId="167" fontId="13" fillId="0" borderId="5" xfId="1" applyNumberFormat="1" applyFont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1" fontId="20" fillId="2" borderId="5" xfId="0" applyNumberFormat="1" applyFont="1" applyFill="1" applyBorder="1" applyAlignment="1">
      <alignment horizontal="center"/>
    </xf>
    <xf numFmtId="164" fontId="11" fillId="3" borderId="5" xfId="1" applyFont="1" applyFill="1" applyBorder="1"/>
    <xf numFmtId="171" fontId="3" fillId="2" borderId="5" xfId="1" applyNumberFormat="1" applyFont="1" applyFill="1" applyBorder="1"/>
    <xf numFmtId="0" fontId="11" fillId="2" borderId="0" xfId="0" applyFont="1" applyFill="1" applyAlignment="1">
      <alignment horizontal="center"/>
    </xf>
    <xf numFmtId="0" fontId="11" fillId="0" borderId="0" xfId="0" applyFont="1" applyAlignment="1">
      <alignment horizontal="left" indent="3"/>
    </xf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167" fontId="21" fillId="2" borderId="5" xfId="1" applyNumberFormat="1" applyFont="1" applyFill="1" applyBorder="1" applyAlignment="1">
      <alignment vertical="center"/>
    </xf>
    <xf numFmtId="167" fontId="23" fillId="2" borderId="5" xfId="1" applyNumberFormat="1" applyFont="1" applyFill="1" applyBorder="1"/>
    <xf numFmtId="167" fontId="24" fillId="2" borderId="5" xfId="1" applyNumberFormat="1" applyFont="1" applyFill="1" applyBorder="1"/>
    <xf numFmtId="167" fontId="25" fillId="2" borderId="5" xfId="1" applyNumberFormat="1" applyFont="1" applyFill="1" applyBorder="1"/>
    <xf numFmtId="164" fontId="13" fillId="0" borderId="5" xfId="2" applyNumberFormat="1" applyFont="1" applyBorder="1" applyAlignment="1">
      <alignment vertical="center"/>
    </xf>
    <xf numFmtId="164" fontId="13" fillId="0" borderId="5" xfId="1" applyNumberFormat="1" applyFont="1" applyBorder="1" applyAlignment="1">
      <alignment horizontal="right"/>
    </xf>
    <xf numFmtId="164" fontId="13" fillId="0" borderId="5" xfId="0" applyNumberFormat="1" applyFont="1" applyBorder="1" applyAlignment="1">
      <alignment horizontal="right"/>
    </xf>
    <xf numFmtId="0" fontId="11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49" fontId="26" fillId="2" borderId="5" xfId="1" applyNumberFormat="1" applyFont="1" applyFill="1" applyBorder="1" applyAlignment="1">
      <alignment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164" fontId="7" fillId="2" borderId="5" xfId="1" applyNumberFormat="1" applyFont="1" applyFill="1" applyBorder="1"/>
    <xf numFmtId="164" fontId="17" fillId="2" borderId="5" xfId="1" applyNumberFormat="1" applyFont="1" applyFill="1" applyBorder="1"/>
    <xf numFmtId="164" fontId="18" fillId="2" borderId="5" xfId="1" applyNumberFormat="1" applyFont="1" applyFill="1" applyBorder="1"/>
    <xf numFmtId="49" fontId="3" fillId="2" borderId="5" xfId="1" applyNumberFormat="1" applyFont="1" applyFill="1" applyBorder="1" applyAlignment="1">
      <alignment horizontal="center" vertical="center" wrapText="1" readingOrder="1"/>
    </xf>
    <xf numFmtId="167" fontId="22" fillId="2" borderId="5" xfId="1" applyNumberFormat="1" applyFont="1" applyFill="1" applyBorder="1"/>
    <xf numFmtId="0" fontId="20" fillId="2" borderId="5" xfId="0" applyFont="1" applyFill="1" applyBorder="1"/>
    <xf numFmtId="0" fontId="8" fillId="2" borderId="5" xfId="0" applyFont="1" applyFill="1" applyBorder="1"/>
    <xf numFmtId="166" fontId="3" fillId="2" borderId="5" xfId="1" applyNumberFormat="1" applyFont="1" applyFill="1" applyBorder="1"/>
    <xf numFmtId="0" fontId="11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49" fontId="12" fillId="2" borderId="2" xfId="0" applyNumberFormat="1" applyFont="1" applyFill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165" fontId="2" fillId="2" borderId="5" xfId="1" applyNumberFormat="1" applyFont="1" applyFill="1" applyBorder="1" applyAlignment="1">
      <alignment horizontal="center"/>
    </xf>
    <xf numFmtId="165" fontId="3" fillId="2" borderId="5" xfId="1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</cellXfs>
  <cellStyles count="6">
    <cellStyle name="Comma" xfId="1" builtinId="3"/>
    <cellStyle name="Comma 2" xfId="2"/>
    <cellStyle name="Normal" xfId="0" builtinId="0"/>
    <cellStyle name="Normal 2 2 2 2" xfId="5"/>
    <cellStyle name="Normal 267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yamka\Downloads\&#1052;&#1101;&#1076;&#1101;&#1101;&#1085;&#1080;&#1081;-&#1085;&#1101;&#1075;&#1090;&#1075;&#1101;&#1083;-3-sar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jil\BUDGET\JTosov\Ur,%20emiin%20medee\2022\4\&#1084;&#1072;&#1085;&#1083;&#1072;&#108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yamka\Downloads\&#1052;&#1101;&#1076;&#1101;&#1101;&#1085;&#1080;&#1081;-&#1085;&#1101;&#1075;&#1090;&#1075;&#1101;&#1083;-3-sar%20(4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yamka\Downloads\&#1052;&#1101;&#1076;&#1101;&#1101;&#1085;&#1080;&#1081;-&#1085;&#1101;&#1075;&#1090;&#1075;&#1101;&#1083;-3-sar-hb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yamka\Downloads\&#1052;&#1101;&#1076;&#1101;&#1101;&#1085;&#1080;&#1081;-&#1085;&#1101;&#1075;&#1090;&#1075;&#1101;&#1083;-3-sar%20(6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yamka\Downloads\&#1052;&#1101;&#1076;&#1101;&#1101;&#1085;&#1080;&#1081;-&#1085;&#1101;&#1075;&#1090;&#1075;&#1101;&#1083;-3-sar-&#1094;&#1086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jil\BUDGET\JTosov\Ur,%20emiin%20medee\2022\5\tsetsii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jil\BUDGET\JTosov\Ur,%20emiin%20medee\2022\5\&#1061;&#1072;&#1085;&#1093;&#1086;&#1085;&#1075;&#1086;&#1088;-&#1089;&#1091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r medee"/>
      <sheetName val="ur"/>
      <sheetName val="avlaga"/>
    </sheetNames>
    <sheetDataSet>
      <sheetData sheetId="0"/>
      <sheetData sheetId="1">
        <row r="10">
          <cell r="I10">
            <v>0</v>
          </cell>
        </row>
      </sheetData>
      <sheetData sheetId="2">
        <row r="29">
          <cell r="I29">
            <v>19864075.309999999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r medee"/>
      <sheetName val="ur"/>
      <sheetName val="avlaga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r medee"/>
      <sheetName val="ur"/>
      <sheetName val="avlaga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r medee"/>
      <sheetName val="ur"/>
      <sheetName val="avlaga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r medee"/>
      <sheetName val="ur"/>
      <sheetName val="avlaga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r medee"/>
      <sheetName val="ur"/>
      <sheetName val="avlaga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АРЫН МЭДЭЭ"/>
      <sheetName val="өр"/>
      <sheetName val="ur"/>
      <sheetName val="avlaga"/>
    </sheetNames>
    <sheetDataSet>
      <sheetData sheetId="0"/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r medee"/>
      <sheetName val="ur"/>
      <sheetName val="avlaga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81"/>
  <sheetViews>
    <sheetView zoomScale="85" zoomScaleNormal="85" zoomScaleSheetLayoutView="40" workbookViewId="0">
      <pane xSplit="2" ySplit="6" topLeftCell="E18" activePane="bottomRight" state="frozen"/>
      <selection pane="topRight" activeCell="C1" sqref="C1"/>
      <selection pane="bottomLeft" activeCell="A7" sqref="A7"/>
      <selection pane="bottomRight" activeCell="J40" sqref="J40"/>
    </sheetView>
  </sheetViews>
  <sheetFormatPr defaultRowHeight="14.25"/>
  <cols>
    <col min="1" max="1" width="9" style="35" bestFit="1" customWidth="1"/>
    <col min="2" max="2" width="47.42578125" style="35" bestFit="1" customWidth="1"/>
    <col min="3" max="4" width="22.28515625" style="35" bestFit="1" customWidth="1"/>
    <col min="5" max="5" width="20.140625" style="35" bestFit="1" customWidth="1"/>
    <col min="6" max="6" width="28.5703125" style="35" bestFit="1" customWidth="1"/>
    <col min="7" max="8" width="20.140625" style="35" bestFit="1" customWidth="1"/>
    <col min="9" max="9" width="17.140625" style="35" bestFit="1" customWidth="1"/>
    <col min="10" max="10" width="18.42578125" style="35" bestFit="1" customWidth="1"/>
    <col min="11" max="12" width="22.28515625" style="35" bestFit="1" customWidth="1"/>
    <col min="13" max="13" width="22.28515625" style="35" customWidth="1"/>
    <col min="14" max="14" width="17.140625" style="35" bestFit="1" customWidth="1"/>
    <col min="15" max="18" width="22.28515625" style="35" bestFit="1" customWidth="1"/>
    <col min="19" max="19" width="20.140625" style="35" bestFit="1" customWidth="1"/>
    <col min="20" max="20" width="22.42578125" style="35" customWidth="1"/>
    <col min="21" max="22" width="18.42578125" style="35" bestFit="1" customWidth="1"/>
    <col min="23" max="23" width="20.140625" style="35" bestFit="1" customWidth="1"/>
    <col min="24" max="24" width="28.5703125" style="35" bestFit="1" customWidth="1"/>
    <col min="25" max="28" width="22.28515625" style="35" bestFit="1" customWidth="1"/>
    <col min="29" max="29" width="20.140625" style="35" bestFit="1" customWidth="1"/>
    <col min="30" max="30" width="22.42578125" style="35" customWidth="1"/>
    <col min="31" max="31" width="19.5703125" style="35" customWidth="1"/>
    <col min="32" max="32" width="24.28515625" style="35" customWidth="1"/>
    <col min="33" max="33" width="20.140625" style="35" bestFit="1" customWidth="1"/>
    <col min="34" max="34" width="21.28515625" style="35" customWidth="1"/>
    <col min="35" max="35" width="18.7109375" style="35" customWidth="1"/>
    <col min="36" max="36" width="18.5703125" style="35" bestFit="1" customWidth="1"/>
    <col min="37" max="16384" width="9.140625" style="35"/>
  </cols>
  <sheetData>
    <row r="1" spans="1:36">
      <c r="A1" s="36"/>
      <c r="B1" s="36" t="s">
        <v>168</v>
      </c>
      <c r="C1" s="36"/>
      <c r="E1" s="36"/>
      <c r="F1" s="36"/>
      <c r="G1" s="36"/>
      <c r="H1" s="36"/>
      <c r="I1" s="36"/>
      <c r="K1" s="36"/>
      <c r="L1" s="36"/>
      <c r="M1" s="36"/>
      <c r="N1" s="36"/>
      <c r="O1" s="36"/>
      <c r="Q1" s="36"/>
      <c r="R1" s="36"/>
      <c r="S1" s="36"/>
      <c r="T1" s="36"/>
      <c r="U1" s="36"/>
      <c r="V1" s="36"/>
      <c r="W1" s="36"/>
      <c r="X1" s="36"/>
      <c r="Y1" s="36"/>
      <c r="AA1" s="36"/>
      <c r="AB1" s="36"/>
      <c r="AC1" s="36"/>
      <c r="AD1" s="36"/>
      <c r="AE1" s="36"/>
      <c r="AF1" s="36"/>
      <c r="AG1" s="36"/>
      <c r="AH1" s="36"/>
      <c r="AI1" s="36"/>
      <c r="AJ1" s="36"/>
    </row>
    <row r="2" spans="1:36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54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</row>
    <row r="3" spans="1:36">
      <c r="A3" s="36"/>
      <c r="B3" s="36" t="s">
        <v>169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</row>
    <row r="4" spans="1:36">
      <c r="A4" s="125" t="s">
        <v>0</v>
      </c>
      <c r="B4" s="125" t="s">
        <v>1</v>
      </c>
      <c r="C4" s="127" t="s">
        <v>62</v>
      </c>
      <c r="D4" s="128"/>
      <c r="E4" s="127" t="s">
        <v>74</v>
      </c>
      <c r="F4" s="128"/>
      <c r="G4" s="127" t="s">
        <v>73</v>
      </c>
      <c r="H4" s="128"/>
      <c r="I4" s="127" t="s">
        <v>114</v>
      </c>
      <c r="J4" s="128"/>
      <c r="K4" s="127" t="s">
        <v>115</v>
      </c>
      <c r="L4" s="128"/>
      <c r="M4" s="127" t="s">
        <v>116</v>
      </c>
      <c r="N4" s="128"/>
      <c r="O4" s="131" t="s">
        <v>117</v>
      </c>
      <c r="P4" s="132"/>
      <c r="Q4" s="127" t="s">
        <v>118</v>
      </c>
      <c r="R4" s="128"/>
      <c r="S4" s="127" t="s">
        <v>160</v>
      </c>
      <c r="T4" s="128"/>
      <c r="U4" s="127" t="s">
        <v>155</v>
      </c>
      <c r="V4" s="128"/>
      <c r="W4" s="127" t="s">
        <v>119</v>
      </c>
      <c r="X4" s="128"/>
      <c r="Y4" s="127" t="s">
        <v>120</v>
      </c>
      <c r="Z4" s="128"/>
      <c r="AA4" s="127" t="s">
        <v>121</v>
      </c>
      <c r="AB4" s="128"/>
      <c r="AC4" s="127" t="s">
        <v>143</v>
      </c>
      <c r="AD4" s="128"/>
      <c r="AE4" s="127" t="s">
        <v>122</v>
      </c>
      <c r="AF4" s="128"/>
      <c r="AG4" s="127" t="s">
        <v>123</v>
      </c>
      <c r="AH4" s="128"/>
      <c r="AI4" s="127" t="s">
        <v>124</v>
      </c>
      <c r="AJ4" s="128"/>
    </row>
    <row r="5" spans="1:36" ht="15">
      <c r="A5" s="126"/>
      <c r="B5" s="126"/>
      <c r="C5" s="129" t="s">
        <v>76</v>
      </c>
      <c r="D5" s="130"/>
      <c r="E5" s="129" t="s">
        <v>77</v>
      </c>
      <c r="F5" s="130"/>
      <c r="G5" s="129" t="s">
        <v>75</v>
      </c>
      <c r="H5" s="130"/>
      <c r="I5" s="129" t="s">
        <v>138</v>
      </c>
      <c r="J5" s="130"/>
      <c r="K5" s="129" t="s">
        <v>132</v>
      </c>
      <c r="L5" s="130"/>
      <c r="M5" s="129" t="s">
        <v>140</v>
      </c>
      <c r="N5" s="130"/>
      <c r="O5" s="129" t="s">
        <v>131</v>
      </c>
      <c r="P5" s="130"/>
      <c r="Q5" s="129" t="s">
        <v>137</v>
      </c>
      <c r="R5" s="130"/>
      <c r="S5" s="129" t="s">
        <v>161</v>
      </c>
      <c r="T5" s="130"/>
      <c r="U5" s="129" t="s">
        <v>156</v>
      </c>
      <c r="V5" s="130"/>
      <c r="W5" s="129" t="s">
        <v>141</v>
      </c>
      <c r="X5" s="130"/>
      <c r="Y5" s="129" t="s">
        <v>132</v>
      </c>
      <c r="Z5" s="130"/>
      <c r="AA5" s="129" t="s">
        <v>159</v>
      </c>
      <c r="AB5" s="130"/>
      <c r="AC5" s="129" t="s">
        <v>144</v>
      </c>
      <c r="AD5" s="130"/>
      <c r="AE5" s="129" t="s">
        <v>133</v>
      </c>
      <c r="AF5" s="130"/>
      <c r="AG5" s="129" t="s">
        <v>136</v>
      </c>
      <c r="AH5" s="130"/>
      <c r="AI5" s="129" t="s">
        <v>75</v>
      </c>
      <c r="AJ5" s="130"/>
    </row>
    <row r="6" spans="1:36">
      <c r="A6" s="93"/>
      <c r="B6" s="93"/>
      <c r="C6" s="37" t="s">
        <v>70</v>
      </c>
      <c r="D6" s="37" t="s">
        <v>71</v>
      </c>
      <c r="E6" s="37" t="s">
        <v>70</v>
      </c>
      <c r="F6" s="37" t="s">
        <v>71</v>
      </c>
      <c r="G6" s="37" t="s">
        <v>70</v>
      </c>
      <c r="H6" s="37" t="s">
        <v>71</v>
      </c>
      <c r="I6" s="37" t="s">
        <v>70</v>
      </c>
      <c r="J6" s="37" t="s">
        <v>71</v>
      </c>
      <c r="K6" s="37" t="s">
        <v>70</v>
      </c>
      <c r="L6" s="37" t="s">
        <v>71</v>
      </c>
      <c r="M6" s="37" t="s">
        <v>70</v>
      </c>
      <c r="N6" s="37" t="s">
        <v>71</v>
      </c>
      <c r="O6" s="37" t="s">
        <v>70</v>
      </c>
      <c r="P6" s="37" t="s">
        <v>71</v>
      </c>
      <c r="Q6" s="37" t="s">
        <v>70</v>
      </c>
      <c r="R6" s="37" t="s">
        <v>71</v>
      </c>
      <c r="S6" s="37" t="s">
        <v>70</v>
      </c>
      <c r="T6" s="37" t="s">
        <v>71</v>
      </c>
      <c r="U6" s="37" t="s">
        <v>70</v>
      </c>
      <c r="V6" s="37" t="s">
        <v>71</v>
      </c>
      <c r="W6" s="37" t="s">
        <v>70</v>
      </c>
      <c r="X6" s="37" t="s">
        <v>71</v>
      </c>
      <c r="Y6" s="37" t="s">
        <v>70</v>
      </c>
      <c r="Z6" s="37" t="s">
        <v>71</v>
      </c>
      <c r="AA6" s="37" t="s">
        <v>70</v>
      </c>
      <c r="AB6" s="37" t="s">
        <v>71</v>
      </c>
      <c r="AC6" s="37" t="s">
        <v>70</v>
      </c>
      <c r="AD6" s="37" t="s">
        <v>71</v>
      </c>
      <c r="AE6" s="37" t="s">
        <v>70</v>
      </c>
      <c r="AF6" s="37" t="s">
        <v>71</v>
      </c>
      <c r="AG6" s="37" t="s">
        <v>70</v>
      </c>
      <c r="AH6" s="37" t="s">
        <v>71</v>
      </c>
      <c r="AI6" s="37" t="s">
        <v>70</v>
      </c>
      <c r="AJ6" s="37" t="s">
        <v>71</v>
      </c>
    </row>
    <row r="7" spans="1:36">
      <c r="A7" s="38"/>
      <c r="B7" s="39"/>
      <c r="C7" s="40"/>
      <c r="D7" s="41"/>
      <c r="G7" s="40"/>
      <c r="H7" s="40"/>
      <c r="I7" s="40"/>
      <c r="J7" s="40"/>
      <c r="K7" s="40"/>
      <c r="L7" s="40">
        <v>0</v>
      </c>
      <c r="M7" s="40"/>
      <c r="N7" s="40">
        <v>0</v>
      </c>
      <c r="O7" s="40"/>
      <c r="P7" s="40">
        <v>165485.49</v>
      </c>
      <c r="Q7" s="40"/>
      <c r="R7" s="40"/>
      <c r="S7" s="40"/>
      <c r="T7" s="40">
        <v>5007688.1100000003</v>
      </c>
      <c r="U7" s="40"/>
      <c r="V7" s="40"/>
      <c r="Y7" s="40"/>
      <c r="Z7" s="40"/>
      <c r="AA7" s="40"/>
      <c r="AB7" s="41">
        <v>166487.04000000001</v>
      </c>
      <c r="AC7" s="40"/>
      <c r="AD7" s="40">
        <v>0</v>
      </c>
      <c r="AE7" s="40"/>
      <c r="AF7" s="40">
        <v>1556613.65</v>
      </c>
      <c r="AG7" s="40"/>
      <c r="AH7" s="40">
        <v>0</v>
      </c>
      <c r="AI7" s="40"/>
      <c r="AJ7" s="40">
        <v>0</v>
      </c>
    </row>
    <row r="8" spans="1:36">
      <c r="A8" s="38"/>
      <c r="B8" s="67" t="s">
        <v>2</v>
      </c>
      <c r="C8" s="68"/>
      <c r="D8" s="69">
        <f>D11-D19</f>
        <v>209702569.11999989</v>
      </c>
      <c r="E8" s="69"/>
      <c r="F8" s="69">
        <f t="shared" ref="F8" si="0">F11-F19</f>
        <v>154214379.37000084</v>
      </c>
      <c r="G8" s="69"/>
      <c r="H8" s="69">
        <f>H11-H19</f>
        <v>43040486</v>
      </c>
      <c r="I8" s="69"/>
      <c r="J8" s="69">
        <f>J11-J19</f>
        <v>142431720.81999993</v>
      </c>
      <c r="K8" s="68"/>
      <c r="L8" s="69">
        <v>44260333.799999997</v>
      </c>
      <c r="M8" s="69">
        <v>44260333.799999997</v>
      </c>
      <c r="N8" s="69">
        <v>44260333.799999997</v>
      </c>
      <c r="O8" s="69"/>
      <c r="P8" s="69">
        <f t="shared" ref="P8:R8" si="1">P11-P19</f>
        <v>456763493.46000004</v>
      </c>
      <c r="Q8" s="68">
        <f t="shared" si="1"/>
        <v>62972000</v>
      </c>
      <c r="R8" s="69">
        <f t="shared" si="1"/>
        <v>56460025.5</v>
      </c>
      <c r="S8" s="68"/>
      <c r="T8" s="98">
        <f>T11-T19</f>
        <v>39689212.389999866</v>
      </c>
      <c r="U8" s="69"/>
      <c r="V8" s="69">
        <f>V11-V19</f>
        <v>113487310.27999997</v>
      </c>
      <c r="W8" s="68">
        <f t="shared" ref="W8" si="2">W11-W19</f>
        <v>-113798580</v>
      </c>
      <c r="X8" s="68">
        <f>X11-X19</f>
        <v>214621650.24000001</v>
      </c>
      <c r="Y8" s="68"/>
      <c r="Z8" s="68">
        <f>Z11-Z19</f>
        <v>90230306.409999967</v>
      </c>
      <c r="AA8" s="68"/>
      <c r="AB8" s="69">
        <v>166487.04000000001</v>
      </c>
      <c r="AC8" s="68"/>
      <c r="AD8" s="69">
        <f>AD11-AD19</f>
        <v>574808111.7099998</v>
      </c>
      <c r="AE8" s="69"/>
      <c r="AF8" s="69">
        <v>90350565.480000004</v>
      </c>
      <c r="AG8" s="68"/>
      <c r="AH8" s="69">
        <f>AH11-AH19</f>
        <v>161951623.39000005</v>
      </c>
      <c r="AI8" s="68"/>
      <c r="AJ8" s="69">
        <f>AJ11-AJ19</f>
        <v>295652689.51999974</v>
      </c>
    </row>
    <row r="9" spans="1:36">
      <c r="A9" s="38"/>
      <c r="B9" s="67" t="s">
        <v>63</v>
      </c>
      <c r="C9" s="68"/>
      <c r="D9" s="69">
        <f>[1]avlaga!I29</f>
        <v>19864075.309999999</v>
      </c>
      <c r="E9" s="68">
        <f>[2]avlaga!AB55</f>
        <v>0</v>
      </c>
      <c r="F9" s="68">
        <f>[2]avlaga!AC55</f>
        <v>0</v>
      </c>
      <c r="G9" s="68"/>
      <c r="H9" s="68">
        <f>avlaga!I80</f>
        <v>148442560</v>
      </c>
      <c r="I9" s="68"/>
      <c r="J9" s="68">
        <v>0</v>
      </c>
      <c r="K9" s="68"/>
      <c r="L9" s="68">
        <v>3585966.36</v>
      </c>
      <c r="M9" s="68"/>
      <c r="N9" s="68"/>
      <c r="O9" s="68"/>
      <c r="P9" s="68">
        <v>1403000</v>
      </c>
      <c r="Q9" s="68"/>
      <c r="R9" s="68">
        <f>[3]avlaga!U55</f>
        <v>0</v>
      </c>
      <c r="S9" s="68"/>
      <c r="T9" s="68">
        <f>[4]avlaga!AA81</f>
        <v>0</v>
      </c>
      <c r="U9" s="68"/>
      <c r="V9" s="68">
        <v>270000</v>
      </c>
      <c r="W9" s="68">
        <f>[2]avlaga!AT55</f>
        <v>0</v>
      </c>
      <c r="X9" s="68">
        <f>[2]avlaga!AU55</f>
        <v>0</v>
      </c>
      <c r="Y9" s="68"/>
      <c r="Z9" s="68">
        <f>[5]avlaga!AE29</f>
        <v>0</v>
      </c>
      <c r="AA9" s="68"/>
      <c r="AB9" s="69">
        <v>76526800</v>
      </c>
      <c r="AC9" s="68"/>
      <c r="AD9" s="68">
        <f>[4]avlaga!AK81</f>
        <v>0</v>
      </c>
      <c r="AE9" s="68"/>
      <c r="AF9" s="68">
        <v>650000</v>
      </c>
      <c r="AG9" s="68"/>
      <c r="AH9" s="68">
        <f>[6]avlaga!BM81</f>
        <v>0</v>
      </c>
      <c r="AI9" s="68"/>
      <c r="AJ9" s="68">
        <f>[7]avlaga!BK81</f>
        <v>0</v>
      </c>
    </row>
    <row r="10" spans="1:36">
      <c r="A10" s="38"/>
      <c r="B10" s="67" t="s">
        <v>3</v>
      </c>
      <c r="C10" s="68"/>
      <c r="D10" s="69">
        <f>ur!I10</f>
        <v>4681565</v>
      </c>
      <c r="E10" s="68">
        <f>[2]ur!AB34</f>
        <v>0</v>
      </c>
      <c r="F10" s="68">
        <f>ur!I21</f>
        <v>871866264.18000007</v>
      </c>
      <c r="G10" s="68"/>
      <c r="H10" s="68">
        <f>ur!I24</f>
        <v>5200000</v>
      </c>
      <c r="I10" s="68"/>
      <c r="J10" s="68"/>
      <c r="K10" s="68"/>
      <c r="L10" s="68">
        <v>2207765.87</v>
      </c>
      <c r="M10" s="68"/>
      <c r="N10" s="68"/>
      <c r="O10" s="68"/>
      <c r="P10" s="68">
        <f>ur!I38</f>
        <v>3459710</v>
      </c>
      <c r="Q10" s="68"/>
      <c r="R10" s="68">
        <f>[3]ur!U33</f>
        <v>0</v>
      </c>
      <c r="S10" s="68"/>
      <c r="T10" s="68">
        <f>[4]ur!AA78</f>
        <v>0</v>
      </c>
      <c r="U10" s="68"/>
      <c r="V10" s="68">
        <v>1273250</v>
      </c>
      <c r="W10" s="68">
        <f>[2]ur!AT34</f>
        <v>0</v>
      </c>
      <c r="X10" s="68">
        <f>[2]ur!AU34</f>
        <v>0</v>
      </c>
      <c r="Y10" s="68"/>
      <c r="Z10" s="68">
        <f>[5]ur!AE10</f>
        <v>0</v>
      </c>
      <c r="AA10" s="68"/>
      <c r="AB10" s="69">
        <f>[8]ur!AE34</f>
        <v>0</v>
      </c>
      <c r="AC10" s="68"/>
      <c r="AD10" s="68">
        <f>[4]ur!AK78</f>
        <v>0</v>
      </c>
      <c r="AE10" s="68"/>
      <c r="AF10" s="68">
        <f>ur!I49</f>
        <v>0</v>
      </c>
      <c r="AG10" s="68"/>
      <c r="AH10" s="68">
        <f>ur!I42</f>
        <v>1351454</v>
      </c>
      <c r="AI10" s="68"/>
      <c r="AJ10" s="68">
        <f>ur!I59</f>
        <v>2390010</v>
      </c>
    </row>
    <row r="11" spans="1:36" ht="15">
      <c r="A11" s="60"/>
      <c r="B11" s="61" t="s">
        <v>4</v>
      </c>
      <c r="C11" s="62">
        <f t="shared" ref="C11:H11" si="3">+SUM(C12:C18)</f>
        <v>14486642800</v>
      </c>
      <c r="D11" s="63">
        <f t="shared" si="3"/>
        <v>1548399300</v>
      </c>
      <c r="E11" s="63">
        <f t="shared" ref="E11:F11" si="4">+SUM(E12:E18)</f>
        <v>7622827959</v>
      </c>
      <c r="F11" s="63">
        <f t="shared" si="4"/>
        <v>10970606340.700001</v>
      </c>
      <c r="G11" s="63">
        <f t="shared" si="3"/>
        <v>289905900</v>
      </c>
      <c r="H11" s="63">
        <f t="shared" si="3"/>
        <v>289944300</v>
      </c>
      <c r="I11" s="62">
        <f t="shared" ref="I11" si="5">+SUM(I12:I18)</f>
        <v>468169000</v>
      </c>
      <c r="J11" s="62">
        <f>+SUM(J12:J16)</f>
        <v>508030767.65999997</v>
      </c>
      <c r="K11" s="62">
        <f t="shared" ref="K11" si="6">+SUM(K12:K18)</f>
        <v>483956400</v>
      </c>
      <c r="L11" s="62">
        <f>+SUM(L12:L18)</f>
        <v>478576988.18000001</v>
      </c>
      <c r="M11" s="62">
        <f t="shared" ref="M11:N11" si="7">+SUM(M12:M18)</f>
        <v>438519200</v>
      </c>
      <c r="N11" s="62">
        <f t="shared" si="7"/>
        <v>418793393</v>
      </c>
      <c r="O11" s="62">
        <f t="shared" ref="O11" si="8">+SUM(O12:O18)</f>
        <v>767062700</v>
      </c>
      <c r="P11" s="62">
        <f>+SUM(P12:P18)</f>
        <v>1120650495.49</v>
      </c>
      <c r="Q11" s="62">
        <f t="shared" ref="Q11:T11" si="9">+SUM(Q12:Q18)</f>
        <v>461207300</v>
      </c>
      <c r="R11" s="62">
        <f t="shared" si="9"/>
        <v>400354598.24000001</v>
      </c>
      <c r="S11" s="62">
        <f t="shared" si="9"/>
        <v>715330000</v>
      </c>
      <c r="T11" s="62">
        <f t="shared" si="9"/>
        <v>674886343.05999994</v>
      </c>
      <c r="U11" s="62">
        <f t="shared" ref="U11:V11" si="10">+SUM(U12:U18)</f>
        <v>464831641.12</v>
      </c>
      <c r="V11" s="62">
        <f t="shared" si="10"/>
        <v>482049021.12</v>
      </c>
      <c r="W11" s="62">
        <f t="shared" ref="W11:X11" si="11">+SUM(W12:W18)</f>
        <v>510462320</v>
      </c>
      <c r="X11" s="62">
        <f t="shared" si="11"/>
        <v>635670346.52999997</v>
      </c>
      <c r="Y11" s="62">
        <f>+SUM(Y13:Y18)</f>
        <v>383776458.63999999</v>
      </c>
      <c r="Z11" s="62">
        <f>+SUM(Z13:Z18)</f>
        <v>383776458.63999999</v>
      </c>
      <c r="AA11" s="62">
        <v>288636050</v>
      </c>
      <c r="AB11" s="63">
        <v>358644710</v>
      </c>
      <c r="AC11" s="62">
        <f t="shared" ref="AC11:AD11" si="12">+SUM(AC12:AC18)</f>
        <v>1687115428.4000001</v>
      </c>
      <c r="AD11" s="62">
        <f t="shared" si="12"/>
        <v>1666803334.4099998</v>
      </c>
      <c r="AE11" s="63">
        <f t="shared" ref="AE11:AF11" si="13">+SUM(AE12:AE18)</f>
        <v>393966300</v>
      </c>
      <c r="AF11" s="63">
        <f t="shared" si="13"/>
        <v>352540842</v>
      </c>
      <c r="AG11" s="62">
        <f t="shared" ref="AG11" si="14">+SUM(AG12:AG18)</f>
        <v>581995800</v>
      </c>
      <c r="AH11" s="63">
        <f>+SUM(AH12:AH18)</f>
        <v>585765187.13</v>
      </c>
      <c r="AI11" s="62">
        <f t="shared" ref="AI11:AJ11" si="15">+SUM(AI12:AI18)</f>
        <v>1472550200</v>
      </c>
      <c r="AJ11" s="62">
        <f t="shared" si="15"/>
        <v>1373911695.28</v>
      </c>
    </row>
    <row r="12" spans="1:36">
      <c r="A12" s="38">
        <v>310001</v>
      </c>
      <c r="B12" s="39" t="s">
        <v>5</v>
      </c>
      <c r="C12" s="41">
        <v>14486642800</v>
      </c>
      <c r="D12" s="41">
        <v>1548399300</v>
      </c>
      <c r="E12" s="40"/>
      <c r="F12" s="40"/>
      <c r="G12" s="40">
        <v>289905900</v>
      </c>
      <c r="H12" s="40">
        <v>289905900</v>
      </c>
      <c r="I12" s="40">
        <v>17933600</v>
      </c>
      <c r="J12" s="40">
        <v>24179500</v>
      </c>
      <c r="K12" s="77"/>
      <c r="L12" s="77"/>
      <c r="M12" s="40"/>
      <c r="N12" s="40"/>
      <c r="O12" s="40"/>
      <c r="P12" s="40"/>
      <c r="Q12" s="43"/>
      <c r="R12" s="44"/>
      <c r="S12" s="40"/>
      <c r="T12" s="40"/>
      <c r="U12" s="43"/>
      <c r="V12" s="44"/>
      <c r="W12" s="40"/>
      <c r="X12" s="40"/>
      <c r="AA12" s="43">
        <v>18375450</v>
      </c>
      <c r="AB12" s="108">
        <v>50535330</v>
      </c>
      <c r="AC12" s="40"/>
      <c r="AD12" s="40"/>
      <c r="AE12" s="43">
        <v>393966300</v>
      </c>
      <c r="AF12" s="43">
        <v>3226000</v>
      </c>
      <c r="AG12" s="40"/>
      <c r="AH12" s="40"/>
      <c r="AI12" s="40">
        <v>99848600</v>
      </c>
      <c r="AJ12" s="40">
        <v>99848600</v>
      </c>
    </row>
    <row r="13" spans="1:36">
      <c r="A13" s="38">
        <v>330002</v>
      </c>
      <c r="B13" s="39" t="s">
        <v>6</v>
      </c>
      <c r="C13" s="40"/>
      <c r="D13" s="41"/>
      <c r="E13" s="40">
        <v>7307507459</v>
      </c>
      <c r="F13" s="40">
        <v>10027769914</v>
      </c>
      <c r="G13" s="40"/>
      <c r="H13" s="40"/>
      <c r="I13" s="40">
        <v>450235400</v>
      </c>
      <c r="J13" s="40">
        <v>418800150</v>
      </c>
      <c r="K13" s="77">
        <v>483956400</v>
      </c>
      <c r="L13" s="77">
        <f>43716600+437938730.25-3078342.07</f>
        <v>478576988.18000001</v>
      </c>
      <c r="M13" s="40">
        <v>413984700</v>
      </c>
      <c r="N13" s="40">
        <v>390072571</v>
      </c>
      <c r="O13" s="40">
        <v>626332200</v>
      </c>
      <c r="P13" s="40">
        <v>617514550</v>
      </c>
      <c r="Q13" s="45">
        <f>157239300+130566600+86700700</f>
        <v>374506600</v>
      </c>
      <c r="R13" s="46">
        <v>307340543.47000003</v>
      </c>
      <c r="S13" s="40">
        <v>576628500</v>
      </c>
      <c r="T13" s="40">
        <v>568328440.05999994</v>
      </c>
      <c r="U13" s="45">
        <v>413094441.12</v>
      </c>
      <c r="V13" s="46">
        <v>385956090</v>
      </c>
      <c r="W13" s="40">
        <v>483569520</v>
      </c>
      <c r="X13" s="40">
        <v>598979546.52999997</v>
      </c>
      <c r="Y13" s="40">
        <v>4604000</v>
      </c>
      <c r="Z13" s="40">
        <v>4604000</v>
      </c>
      <c r="AA13" s="45">
        <v>198863900</v>
      </c>
      <c r="AB13" s="109">
        <v>297679380</v>
      </c>
      <c r="AC13" s="40">
        <v>1263429504</v>
      </c>
      <c r="AD13" s="40">
        <v>1243117410</v>
      </c>
      <c r="AE13" s="45"/>
      <c r="AF13" s="46">
        <v>349314842</v>
      </c>
      <c r="AG13" s="40">
        <v>543037800</v>
      </c>
      <c r="AH13" s="41">
        <v>546807187.13</v>
      </c>
      <c r="AI13" s="40">
        <v>1057562300</v>
      </c>
      <c r="AJ13" s="40">
        <v>904488340</v>
      </c>
    </row>
    <row r="14" spans="1:36">
      <c r="A14" s="38">
        <v>350001</v>
      </c>
      <c r="B14" s="39" t="s">
        <v>7</v>
      </c>
      <c r="C14" s="40"/>
      <c r="D14" s="41"/>
      <c r="E14" s="40">
        <v>297201900</v>
      </c>
      <c r="F14" s="40">
        <v>920547457.70000005</v>
      </c>
      <c r="G14" s="40"/>
      <c r="H14" s="40"/>
      <c r="I14" s="40"/>
      <c r="J14" s="40">
        <f>61762636.66+2824481+464000</f>
        <v>65051117.659999996</v>
      </c>
      <c r="K14" s="45"/>
      <c r="L14" s="46"/>
      <c r="M14" s="40">
        <v>24534500</v>
      </c>
      <c r="N14" s="40">
        <v>28720822</v>
      </c>
      <c r="O14" s="40"/>
      <c r="P14" s="40">
        <v>142047950</v>
      </c>
      <c r="Q14" s="45"/>
      <c r="R14" s="46"/>
      <c r="S14" s="40">
        <v>84160700</v>
      </c>
      <c r="T14" s="40">
        <v>55028779</v>
      </c>
      <c r="U14" s="45"/>
      <c r="V14" s="46">
        <v>27508731.120000001</v>
      </c>
      <c r="W14" s="40"/>
      <c r="X14" s="40"/>
      <c r="Y14" s="40">
        <v>370818241</v>
      </c>
      <c r="Z14" s="40">
        <v>370818241</v>
      </c>
      <c r="AA14" s="45"/>
      <c r="AB14" s="109"/>
      <c r="AC14" s="40">
        <v>151640000</v>
      </c>
      <c r="AD14" s="40">
        <v>151640000</v>
      </c>
      <c r="AE14" s="45">
        <v>0</v>
      </c>
      <c r="AF14" s="45">
        <v>0</v>
      </c>
      <c r="AG14" s="40">
        <v>38958000</v>
      </c>
      <c r="AH14" s="40">
        <v>38958000</v>
      </c>
      <c r="AI14" s="40"/>
      <c r="AJ14" s="40"/>
    </row>
    <row r="15" spans="1:36">
      <c r="A15" s="38">
        <v>350002</v>
      </c>
      <c r="B15" s="39" t="s">
        <v>8</v>
      </c>
      <c r="C15" s="40"/>
      <c r="D15" s="41"/>
      <c r="E15" s="40">
        <v>18118600</v>
      </c>
      <c r="F15" s="40">
        <v>18118600</v>
      </c>
      <c r="G15" s="40"/>
      <c r="H15" s="40">
        <v>38400</v>
      </c>
      <c r="I15" s="40"/>
      <c r="J15" s="40"/>
      <c r="K15" s="40"/>
      <c r="L15" s="40"/>
      <c r="M15" s="40"/>
      <c r="N15" s="40"/>
      <c r="O15" s="40">
        <v>107072100</v>
      </c>
      <c r="P15" s="40">
        <v>323354110</v>
      </c>
      <c r="Q15" s="40">
        <v>86700700</v>
      </c>
      <c r="R15" s="41">
        <v>93014054.769999996</v>
      </c>
      <c r="S15" s="40">
        <v>54540800</v>
      </c>
      <c r="T15" s="40">
        <v>51529124</v>
      </c>
      <c r="U15" s="40">
        <v>51737200</v>
      </c>
      <c r="V15" s="40">
        <v>65046200</v>
      </c>
      <c r="W15" s="40"/>
      <c r="X15" s="40"/>
      <c r="Y15" s="40">
        <v>8354217.6399999997</v>
      </c>
      <c r="Z15" s="40">
        <v>8354217.6399999997</v>
      </c>
      <c r="AA15" s="40"/>
      <c r="AB15" s="41"/>
      <c r="AC15" s="40">
        <v>272045924.39999998</v>
      </c>
      <c r="AD15" s="40">
        <f>227535764+44510160.41</f>
        <v>272045924.40999997</v>
      </c>
      <c r="AE15" s="40"/>
      <c r="AF15" s="40"/>
      <c r="AG15" s="40"/>
      <c r="AH15" s="41"/>
      <c r="AI15" s="40">
        <v>315139300</v>
      </c>
      <c r="AJ15" s="40">
        <f>341124755.28+28450000</f>
        <v>369574755.27999997</v>
      </c>
    </row>
    <row r="16" spans="1:36">
      <c r="A16" s="38">
        <v>300002</v>
      </c>
      <c r="B16" s="39" t="s">
        <v>65</v>
      </c>
      <c r="C16" s="40"/>
      <c r="D16" s="41"/>
      <c r="E16" s="40"/>
      <c r="F16" s="40">
        <v>4170369</v>
      </c>
      <c r="G16" s="40"/>
      <c r="H16" s="40"/>
      <c r="I16" s="40"/>
      <c r="J16" s="40"/>
      <c r="K16" s="40"/>
      <c r="L16" s="47"/>
      <c r="M16" s="40"/>
      <c r="N16" s="40"/>
      <c r="O16" s="40">
        <v>40000</v>
      </c>
      <c r="P16" s="40">
        <v>525485.49</v>
      </c>
      <c r="Q16" s="40"/>
      <c r="R16" s="47"/>
      <c r="S16" s="40"/>
      <c r="T16" s="40"/>
      <c r="U16" s="40"/>
      <c r="V16" s="47"/>
      <c r="W16" s="40"/>
      <c r="X16" s="40"/>
      <c r="Y16" s="40"/>
      <c r="Z16" s="40"/>
      <c r="AA16" s="40"/>
      <c r="AB16" s="41"/>
      <c r="AC16" s="40"/>
      <c r="AD16" s="40"/>
      <c r="AE16" s="40"/>
      <c r="AF16" s="47"/>
      <c r="AG16" s="40"/>
      <c r="AH16" s="40"/>
      <c r="AI16" s="40"/>
      <c r="AJ16" s="40"/>
    </row>
    <row r="17" spans="1:36">
      <c r="A17" s="38">
        <v>300001</v>
      </c>
      <c r="B17" s="39" t="s">
        <v>64</v>
      </c>
      <c r="C17" s="40"/>
      <c r="D17" s="41"/>
      <c r="E17" s="40"/>
      <c r="F17" s="40"/>
      <c r="G17" s="40"/>
      <c r="H17" s="40"/>
      <c r="I17" s="40"/>
      <c r="J17" s="40"/>
      <c r="K17" s="40"/>
      <c r="L17" s="47"/>
      <c r="M17" s="40"/>
      <c r="N17" s="40"/>
      <c r="O17" s="40"/>
      <c r="P17" s="40">
        <v>4860000</v>
      </c>
      <c r="Q17" s="40"/>
      <c r="R17" s="47"/>
      <c r="S17" s="40">
        <v>0</v>
      </c>
      <c r="T17" s="40">
        <v>0</v>
      </c>
      <c r="U17" s="40"/>
      <c r="V17" s="47"/>
      <c r="W17" s="40">
        <v>26892800</v>
      </c>
      <c r="X17" s="40">
        <v>36690800</v>
      </c>
      <c r="Y17" s="40"/>
      <c r="Z17" s="40"/>
      <c r="AA17" s="40"/>
      <c r="AB17" s="41"/>
      <c r="AC17" s="40">
        <v>0</v>
      </c>
      <c r="AD17" s="40">
        <v>0</v>
      </c>
      <c r="AE17" s="40"/>
      <c r="AF17" s="47"/>
      <c r="AG17" s="40"/>
      <c r="AH17" s="40"/>
      <c r="AI17" s="40"/>
      <c r="AJ17" s="40"/>
    </row>
    <row r="18" spans="1:36">
      <c r="A18" s="38">
        <v>300004</v>
      </c>
      <c r="B18" s="39" t="s">
        <v>66</v>
      </c>
      <c r="C18" s="40"/>
      <c r="D18" s="41"/>
      <c r="G18" s="40"/>
      <c r="H18" s="40"/>
      <c r="I18" s="40"/>
      <c r="J18" s="40"/>
      <c r="K18" s="40"/>
      <c r="L18" s="40"/>
      <c r="M18" s="40"/>
      <c r="N18" s="40"/>
      <c r="O18" s="40">
        <v>33618400</v>
      </c>
      <c r="P18" s="40">
        <v>32348400</v>
      </c>
      <c r="Q18" s="40"/>
      <c r="R18" s="40"/>
      <c r="S18" s="40"/>
      <c r="T18" s="40"/>
      <c r="U18" s="40"/>
      <c r="V18" s="40">
        <v>3538000</v>
      </c>
      <c r="W18" s="40"/>
      <c r="X18" s="40"/>
      <c r="Y18" s="40"/>
      <c r="Z18" s="40"/>
      <c r="AA18" s="40"/>
      <c r="AB18" s="41"/>
      <c r="AC18" s="40"/>
      <c r="AD18" s="40"/>
      <c r="AE18" s="40"/>
      <c r="AF18" s="40"/>
      <c r="AG18" s="40"/>
      <c r="AH18" s="40"/>
      <c r="AI18" s="40"/>
      <c r="AJ18" s="40"/>
    </row>
    <row r="19" spans="1:36" ht="15">
      <c r="A19" s="48"/>
      <c r="B19" s="49" t="s">
        <v>9</v>
      </c>
      <c r="C19" s="42">
        <f t="shared" ref="C19:AG19" si="16">C20+C26+C32+C36+C42+C46+C51+C53+C63+C67</f>
        <v>776351500</v>
      </c>
      <c r="D19" s="59">
        <f t="shared" si="16"/>
        <v>1338696730.8800001</v>
      </c>
      <c r="E19" s="59">
        <f t="shared" si="16"/>
        <v>8271754400</v>
      </c>
      <c r="F19" s="59">
        <f t="shared" si="16"/>
        <v>10816391961.33</v>
      </c>
      <c r="G19" s="59">
        <f t="shared" si="16"/>
        <v>289817900</v>
      </c>
      <c r="H19" s="59">
        <f t="shared" si="16"/>
        <v>246903814</v>
      </c>
      <c r="I19" s="42">
        <f t="shared" si="16"/>
        <v>459250300</v>
      </c>
      <c r="J19" s="42">
        <f>J20+J26+J32+J36+J42+J46+J51+J53+J63+J67</f>
        <v>365599046.84000003</v>
      </c>
      <c r="K19" s="42">
        <f>K20+K26+K32+K36+K42+K46+K51+K53+K63+K67</f>
        <v>483956400</v>
      </c>
      <c r="L19" s="42">
        <f>L20+L26+L32+L36+L42+L46+L51+L53+L63+L67-3078342.07</f>
        <v>434316654.38000005</v>
      </c>
      <c r="M19" s="42">
        <f t="shared" ref="M19:N19" si="17">M20+M26+M32+M36+M42+M46+M51+M53+M63+M67</f>
        <v>438519200</v>
      </c>
      <c r="N19" s="42">
        <f t="shared" si="17"/>
        <v>365710268</v>
      </c>
      <c r="O19" s="42">
        <f t="shared" ref="O19" si="18">O20+O26+O32+O36+O42+O46+O51+O53+O63+O67</f>
        <v>786939700</v>
      </c>
      <c r="P19" s="42">
        <f>P20+P26+P32+P36+P42+P46+P51+P53+P63+P67</f>
        <v>663887002.02999997</v>
      </c>
      <c r="Q19" s="42">
        <f t="shared" ref="Q19:V19" si="19">Q20+Q26+Q32+Q36+Q42+Q46+Q51+Q53+Q63+Q67</f>
        <v>398235300</v>
      </c>
      <c r="R19" s="42">
        <f t="shared" si="19"/>
        <v>343894572.74000001</v>
      </c>
      <c r="S19" s="42">
        <f t="shared" si="19"/>
        <v>995911200</v>
      </c>
      <c r="T19" s="42">
        <f t="shared" si="19"/>
        <v>635197130.67000008</v>
      </c>
      <c r="U19" s="59">
        <f t="shared" si="19"/>
        <v>465896800</v>
      </c>
      <c r="V19" s="59">
        <f t="shared" si="19"/>
        <v>368561710.84000003</v>
      </c>
      <c r="W19" s="42">
        <f t="shared" si="16"/>
        <v>624260900</v>
      </c>
      <c r="X19" s="42">
        <f t="shared" si="16"/>
        <v>421048696.28999996</v>
      </c>
      <c r="Y19" s="42">
        <f t="shared" si="16"/>
        <v>368198000</v>
      </c>
      <c r="Z19" s="42">
        <f t="shared" si="16"/>
        <v>293546152.23000002</v>
      </c>
      <c r="AA19" s="42">
        <f t="shared" si="16"/>
        <v>289410800</v>
      </c>
      <c r="AB19" s="59">
        <f t="shared" si="16"/>
        <v>372619487.32999998</v>
      </c>
      <c r="AC19" s="42">
        <f t="shared" ref="AC19:AD19" si="20">AC20+AC26+AC32+AC36+AC42+AC46+AC51+AC53+AC63+AC67</f>
        <v>1397814200</v>
      </c>
      <c r="AD19" s="42">
        <f t="shared" si="20"/>
        <v>1091995222.7</v>
      </c>
      <c r="AE19" s="42">
        <f t="shared" si="16"/>
        <v>393966300</v>
      </c>
      <c r="AF19" s="42">
        <f t="shared" si="16"/>
        <v>346269090.17000002</v>
      </c>
      <c r="AG19" s="42">
        <f t="shared" si="16"/>
        <v>575352800</v>
      </c>
      <c r="AH19" s="59">
        <f>AH20+AH26+AH32+AH36+AH42+AH46+AH51+AH53+AH63+AH67</f>
        <v>423813563.73999995</v>
      </c>
      <c r="AI19" s="42">
        <f t="shared" ref="AI19:AJ19" si="21">AI20+AI26+AI32+AI36+AI42+AI46+AI51+AI53+AI63+AI67</f>
        <v>1195943900</v>
      </c>
      <c r="AJ19" s="42">
        <f t="shared" si="21"/>
        <v>1078259005.7600002</v>
      </c>
    </row>
    <row r="20" spans="1:36" ht="15">
      <c r="A20" s="64">
        <v>2101</v>
      </c>
      <c r="B20" s="65" t="s">
        <v>10</v>
      </c>
      <c r="C20" s="62">
        <f t="shared" ref="C20:H20" si="22">+SUM(C21:C25)</f>
        <v>359580100</v>
      </c>
      <c r="D20" s="63">
        <f t="shared" si="22"/>
        <v>339122918.21000004</v>
      </c>
      <c r="E20" s="62">
        <f>+SUM(E21:E25)</f>
        <v>3082417100</v>
      </c>
      <c r="F20" s="62">
        <f>+SUM(F21:F25)</f>
        <v>4772141104.3299999</v>
      </c>
      <c r="G20" s="63">
        <f t="shared" si="22"/>
        <v>190553900</v>
      </c>
      <c r="H20" s="63">
        <f t="shared" si="22"/>
        <v>170534960</v>
      </c>
      <c r="I20" s="62">
        <f t="shared" ref="I20:J20" si="23">+SUM(I21:I25)</f>
        <v>232442600</v>
      </c>
      <c r="J20" s="62">
        <f t="shared" si="23"/>
        <v>217517194</v>
      </c>
      <c r="K20" s="62">
        <f t="shared" ref="K20" si="24">+SUM(K21:K25)</f>
        <v>249101600</v>
      </c>
      <c r="L20" s="62">
        <f>+SUM(L21:L25)</f>
        <v>237138513.33000001</v>
      </c>
      <c r="M20" s="62">
        <f t="shared" ref="M20:O20" si="25">+SUM(M21:M25)</f>
        <v>251412200</v>
      </c>
      <c r="N20" s="62">
        <f t="shared" si="25"/>
        <v>234939440</v>
      </c>
      <c r="O20" s="62">
        <f t="shared" si="25"/>
        <v>422283400</v>
      </c>
      <c r="P20" s="62">
        <f t="shared" ref="P20:Q20" si="26">+SUM(P21:P25)</f>
        <v>367122704.75</v>
      </c>
      <c r="Q20" s="62">
        <f t="shared" si="26"/>
        <v>232216400</v>
      </c>
      <c r="R20" s="62">
        <f>+SUM(R21:R25)</f>
        <v>214197841.80000001</v>
      </c>
      <c r="S20" s="62">
        <f t="shared" ref="S20:T20" si="27">+SUM(S21:S25)</f>
        <v>548103100</v>
      </c>
      <c r="T20" s="62">
        <f t="shared" si="27"/>
        <v>367209112.61000001</v>
      </c>
      <c r="U20" s="62">
        <f t="shared" ref="U20" si="28">+SUM(U21:U25)</f>
        <v>275852900</v>
      </c>
      <c r="V20" s="62">
        <f>+SUM(V21:V25)</f>
        <v>245591130.99000001</v>
      </c>
      <c r="W20" s="62">
        <f t="shared" ref="W20:AA20" si="29">+SUM(W21:W25)</f>
        <v>355174400</v>
      </c>
      <c r="X20" s="62">
        <f t="shared" si="29"/>
        <v>264158940.84</v>
      </c>
      <c r="Y20" s="62">
        <f t="shared" si="29"/>
        <v>227909300</v>
      </c>
      <c r="Z20" s="62">
        <f t="shared" si="29"/>
        <v>202478468.12</v>
      </c>
      <c r="AA20" s="62">
        <f t="shared" si="29"/>
        <v>160923800</v>
      </c>
      <c r="AB20" s="63">
        <f>+SUM(AB21:AB25)</f>
        <v>222678225.09999999</v>
      </c>
      <c r="AC20" s="62">
        <f t="shared" ref="AC20:AD20" si="30">+SUM(AC21:AC25)</f>
        <v>678875600</v>
      </c>
      <c r="AD20" s="62">
        <f t="shared" si="30"/>
        <v>554881799.20000005</v>
      </c>
      <c r="AE20" s="62">
        <f t="shared" ref="AE20" si="31">+SUM(AE21:AE25)</f>
        <v>228759300</v>
      </c>
      <c r="AF20" s="62">
        <f>+SUM(AF21:AF25)</f>
        <v>219158238.84</v>
      </c>
      <c r="AG20" s="62">
        <f t="shared" ref="AG20" si="32">+SUM(AG21:AG25)</f>
        <v>300786300</v>
      </c>
      <c r="AH20" s="63">
        <f>+SUM(AH21:AH25)</f>
        <v>262929816.69</v>
      </c>
      <c r="AI20" s="62">
        <f t="shared" ref="AI20:AJ20" si="33">+SUM(AI21:AI25)</f>
        <v>686806900</v>
      </c>
      <c r="AJ20" s="62">
        <f t="shared" si="33"/>
        <v>612132415.28000009</v>
      </c>
    </row>
    <row r="21" spans="1:36">
      <c r="A21" s="39">
        <v>210101</v>
      </c>
      <c r="B21" s="50" t="s">
        <v>68</v>
      </c>
      <c r="C21" s="40">
        <v>233216000</v>
      </c>
      <c r="D21" s="41">
        <v>229347962.03</v>
      </c>
      <c r="E21" s="40">
        <v>1662027700</v>
      </c>
      <c r="F21" s="40">
        <v>2255233670.75</v>
      </c>
      <c r="G21" s="40">
        <v>109515400</v>
      </c>
      <c r="H21" s="40">
        <v>112799462</v>
      </c>
      <c r="I21" s="40">
        <v>149105000</v>
      </c>
      <c r="J21" s="40">
        <v>147023410</v>
      </c>
      <c r="K21" s="40">
        <v>167944000</v>
      </c>
      <c r="L21" s="46">
        <v>138532608.63</v>
      </c>
      <c r="M21" s="40">
        <v>186392300</v>
      </c>
      <c r="N21" s="40">
        <v>157356669</v>
      </c>
      <c r="O21" s="40">
        <v>269306500</v>
      </c>
      <c r="P21" s="40">
        <v>219955320.99000001</v>
      </c>
      <c r="Q21" s="45">
        <f>102640000+60627400+12000000</f>
        <v>175267400</v>
      </c>
      <c r="R21" s="46">
        <f>10760886.85+53669843.72+86516830.87</f>
        <v>150947561.44</v>
      </c>
      <c r="S21" s="40">
        <v>379009700</v>
      </c>
      <c r="T21" s="40">
        <v>261966741.30000001</v>
      </c>
      <c r="U21" s="45">
        <v>175539000</v>
      </c>
      <c r="V21" s="46">
        <v>126518066.95999999</v>
      </c>
      <c r="W21" s="40">
        <v>219200000</v>
      </c>
      <c r="X21" s="40">
        <v>176567733.91</v>
      </c>
      <c r="Y21" s="40">
        <v>143859300</v>
      </c>
      <c r="Z21" s="40">
        <v>134174204.28</v>
      </c>
      <c r="AA21" s="45">
        <v>98372400</v>
      </c>
      <c r="AB21" s="109">
        <v>125650277.09999999</v>
      </c>
      <c r="AC21" s="40">
        <v>394724200</v>
      </c>
      <c r="AD21" s="40">
        <v>338073341.47000003</v>
      </c>
      <c r="AE21" s="45">
        <v>121641700</v>
      </c>
      <c r="AF21" s="46">
        <v>133090722.12</v>
      </c>
      <c r="AG21" s="40">
        <v>168561100</v>
      </c>
      <c r="AH21" s="41">
        <v>161555108.69</v>
      </c>
      <c r="AI21" s="40">
        <v>366806100</v>
      </c>
      <c r="AJ21" s="40">
        <v>375911119.56999999</v>
      </c>
    </row>
    <row r="22" spans="1:36">
      <c r="A22" s="39">
        <v>210102</v>
      </c>
      <c r="B22" s="50" t="s">
        <v>69</v>
      </c>
      <c r="C22" s="40">
        <v>65042000</v>
      </c>
      <c r="D22" s="41">
        <v>49987347.200000003</v>
      </c>
      <c r="E22" s="40">
        <v>1220305100</v>
      </c>
      <c r="F22" s="40">
        <v>1911054590.48</v>
      </c>
      <c r="G22" s="40">
        <v>58746500</v>
      </c>
      <c r="H22" s="40">
        <v>42068724</v>
      </c>
      <c r="I22" s="40">
        <v>55847800</v>
      </c>
      <c r="J22" s="40">
        <v>48409613</v>
      </c>
      <c r="K22" s="40">
        <v>62718800</v>
      </c>
      <c r="L22" s="45">
        <v>82649885.739999995</v>
      </c>
      <c r="M22" s="40">
        <v>44380100</v>
      </c>
      <c r="N22" s="40">
        <v>60878187</v>
      </c>
      <c r="O22" s="40">
        <v>104137000</v>
      </c>
      <c r="P22" s="40">
        <v>90849766.439999998</v>
      </c>
      <c r="Q22" s="45">
        <f>15000000+4826000+19326400</f>
        <v>39152400</v>
      </c>
      <c r="R22" s="46">
        <f>15925545.59+16523472.08+9289930.26</f>
        <v>41738947.93</v>
      </c>
      <c r="S22" s="40">
        <v>123053600</v>
      </c>
      <c r="T22" s="40">
        <v>75489590.75</v>
      </c>
      <c r="U22" s="45">
        <v>59448000</v>
      </c>
      <c r="V22" s="46">
        <v>75959448.329999998</v>
      </c>
      <c r="W22" s="40">
        <v>109632600</v>
      </c>
      <c r="X22" s="40">
        <v>63707171.189999998</v>
      </c>
      <c r="Y22" s="40">
        <v>65884000</v>
      </c>
      <c r="Z22" s="40">
        <v>49943070.539999999</v>
      </c>
      <c r="AA22" s="45">
        <v>51860000</v>
      </c>
      <c r="AB22" s="109">
        <v>73193620</v>
      </c>
      <c r="AC22" s="40">
        <v>159111800</v>
      </c>
      <c r="AD22" s="40">
        <v>167320027.05000001</v>
      </c>
      <c r="AE22" s="45">
        <v>77393000</v>
      </c>
      <c r="AF22" s="45">
        <v>69173944.760000005</v>
      </c>
      <c r="AG22" s="40">
        <v>118569600</v>
      </c>
      <c r="AH22" s="41">
        <v>94816186</v>
      </c>
      <c r="AI22" s="40">
        <v>215556000</v>
      </c>
      <c r="AJ22" s="40">
        <v>168844514.34000003</v>
      </c>
    </row>
    <row r="23" spans="1:36">
      <c r="A23" s="39">
        <v>210103</v>
      </c>
      <c r="B23" s="50" t="s">
        <v>11</v>
      </c>
      <c r="C23" s="40">
        <v>29838000</v>
      </c>
      <c r="D23" s="41">
        <v>29837387.98</v>
      </c>
      <c r="E23" s="40">
        <v>93555200</v>
      </c>
      <c r="F23" s="40">
        <v>130265241.72</v>
      </c>
      <c r="G23" s="40">
        <v>7507400</v>
      </c>
      <c r="H23" s="40">
        <v>6846000</v>
      </c>
      <c r="I23" s="40"/>
      <c r="J23" s="40">
        <v>2155000</v>
      </c>
      <c r="K23" s="40"/>
      <c r="L23" s="46">
        <v>1643000</v>
      </c>
      <c r="M23" s="40">
        <v>3234000</v>
      </c>
      <c r="N23" s="40">
        <v>3020000</v>
      </c>
      <c r="O23" s="40">
        <v>3456000</v>
      </c>
      <c r="P23" s="40">
        <v>3671000</v>
      </c>
      <c r="Q23" s="45"/>
      <c r="R23" s="46"/>
      <c r="S23" s="40"/>
      <c r="T23" s="40">
        <v>3456000</v>
      </c>
      <c r="U23" s="45"/>
      <c r="V23" s="46">
        <v>2085000</v>
      </c>
      <c r="W23" s="40"/>
      <c r="X23" s="40">
        <v>3020000</v>
      </c>
      <c r="Y23" s="40">
        <v>12708000</v>
      </c>
      <c r="Z23" s="40">
        <v>2334000</v>
      </c>
      <c r="AA23" s="45"/>
      <c r="AB23" s="109"/>
      <c r="AC23" s="40">
        <v>27500000</v>
      </c>
      <c r="AD23" s="40">
        <v>4996000</v>
      </c>
      <c r="AE23" s="45">
        <v>0</v>
      </c>
      <c r="AF23" s="46">
        <v>0</v>
      </c>
      <c r="AG23" s="40"/>
      <c r="AH23" s="41">
        <v>2213000</v>
      </c>
      <c r="AI23" s="40">
        <v>25333600</v>
      </c>
      <c r="AJ23" s="40">
        <v>6187587</v>
      </c>
    </row>
    <row r="24" spans="1:36">
      <c r="A24" s="39"/>
      <c r="B24" s="50" t="s">
        <v>106</v>
      </c>
      <c r="C24" s="40"/>
      <c r="D24" s="41"/>
      <c r="G24" s="40"/>
      <c r="H24" s="40"/>
      <c r="I24" s="40"/>
      <c r="J24" s="40"/>
      <c r="K24" s="40"/>
      <c r="L24" s="46"/>
      <c r="M24" s="40"/>
      <c r="N24" s="40"/>
      <c r="O24" s="40"/>
      <c r="P24" s="40"/>
      <c r="Q24" s="45"/>
      <c r="R24" s="46"/>
      <c r="S24" s="40"/>
      <c r="T24" s="40"/>
      <c r="U24" s="45"/>
      <c r="V24" s="46"/>
      <c r="W24" s="40"/>
      <c r="X24" s="40"/>
      <c r="Y24" s="40"/>
      <c r="Z24" s="40"/>
      <c r="AA24" s="45"/>
      <c r="AB24" s="109"/>
      <c r="AC24" s="40"/>
      <c r="AD24" s="40"/>
      <c r="AE24" s="45"/>
      <c r="AF24" s="46"/>
      <c r="AG24" s="40"/>
      <c r="AH24" s="41"/>
      <c r="AI24" s="40"/>
      <c r="AJ24" s="40"/>
    </row>
    <row r="25" spans="1:36">
      <c r="A25" s="39">
        <v>210104</v>
      </c>
      <c r="B25" s="50" t="s">
        <v>12</v>
      </c>
      <c r="C25" s="40">
        <v>31484100</v>
      </c>
      <c r="D25" s="41">
        <v>29950221</v>
      </c>
      <c r="E25" s="40">
        <v>106529100</v>
      </c>
      <c r="F25" s="40">
        <v>475587601.38</v>
      </c>
      <c r="G25" s="40">
        <v>14784600</v>
      </c>
      <c r="H25" s="40">
        <v>8820774</v>
      </c>
      <c r="I25" s="40">
        <v>27489800</v>
      </c>
      <c r="J25" s="40">
        <v>19929171</v>
      </c>
      <c r="K25" s="40">
        <v>18438800</v>
      </c>
      <c r="L25" s="47">
        <v>14313018.960000001</v>
      </c>
      <c r="M25" s="40">
        <v>17405800</v>
      </c>
      <c r="N25" s="40">
        <v>13684584</v>
      </c>
      <c r="O25" s="40">
        <v>45383900</v>
      </c>
      <c r="P25" s="40">
        <v>52646617.32</v>
      </c>
      <c r="Q25" s="45">
        <v>17796600</v>
      </c>
      <c r="R25" s="47">
        <f>14705519.58+4895163.85+1910649</f>
        <v>21511332.43</v>
      </c>
      <c r="S25" s="40">
        <v>46039800</v>
      </c>
      <c r="T25" s="40">
        <v>26296780.559999999</v>
      </c>
      <c r="U25" s="45">
        <v>40865900</v>
      </c>
      <c r="V25" s="47">
        <v>41028615.700000003</v>
      </c>
      <c r="W25" s="40">
        <v>26341800</v>
      </c>
      <c r="X25" s="40">
        <v>20864035.739999998</v>
      </c>
      <c r="Y25" s="40">
        <v>5458000</v>
      </c>
      <c r="Z25" s="40">
        <v>16027193.300000001</v>
      </c>
      <c r="AA25" s="45">
        <v>10691400</v>
      </c>
      <c r="AB25" s="41">
        <v>23834328</v>
      </c>
      <c r="AC25" s="40">
        <v>97539600</v>
      </c>
      <c r="AD25" s="40">
        <v>44492430.68</v>
      </c>
      <c r="AE25" s="45">
        <v>29724600</v>
      </c>
      <c r="AF25" s="47">
        <v>16893571.960000001</v>
      </c>
      <c r="AG25" s="40">
        <v>13655600</v>
      </c>
      <c r="AH25" s="41">
        <v>4345522</v>
      </c>
      <c r="AI25" s="40">
        <v>79111200</v>
      </c>
      <c r="AJ25" s="40">
        <v>61189194.369999997</v>
      </c>
    </row>
    <row r="26" spans="1:36" ht="15">
      <c r="A26" s="64">
        <v>2102</v>
      </c>
      <c r="B26" s="65" t="s">
        <v>13</v>
      </c>
      <c r="C26" s="62">
        <f t="shared" ref="C26:H26" si="34">+SUM(C27:C31)</f>
        <v>48543100</v>
      </c>
      <c r="D26" s="63">
        <f t="shared" si="34"/>
        <v>45934635.739999995</v>
      </c>
      <c r="E26" s="62">
        <f t="shared" ref="E26:F26" si="35">+SUM(E27:E31)</f>
        <v>362124300</v>
      </c>
      <c r="F26" s="62">
        <f t="shared" si="35"/>
        <v>486370534.16000009</v>
      </c>
      <c r="G26" s="63">
        <f t="shared" si="34"/>
        <v>24024600</v>
      </c>
      <c r="H26" s="63">
        <f t="shared" si="34"/>
        <v>21973126</v>
      </c>
      <c r="I26" s="62">
        <f t="shared" ref="I26:J26" si="36">+SUM(I27:I31)</f>
        <v>29055000</v>
      </c>
      <c r="J26" s="62">
        <f t="shared" si="36"/>
        <v>27015855.109999999</v>
      </c>
      <c r="K26" s="62">
        <f t="shared" ref="K26:N26" si="37">+SUM(K27:K31)</f>
        <v>31697100</v>
      </c>
      <c r="L26" s="62">
        <f t="shared" si="37"/>
        <v>29711136.769999996</v>
      </c>
      <c r="M26" s="62">
        <f t="shared" si="37"/>
        <v>27355700</v>
      </c>
      <c r="N26" s="62">
        <f t="shared" si="37"/>
        <v>16838413</v>
      </c>
      <c r="O26" s="62">
        <f t="shared" ref="O26:V26" si="38">+SUM(O27:O31)</f>
        <v>62944100</v>
      </c>
      <c r="P26" s="62">
        <f t="shared" si="38"/>
        <v>47943774</v>
      </c>
      <c r="Q26" s="62">
        <f t="shared" si="38"/>
        <v>34822300</v>
      </c>
      <c r="R26" s="62">
        <f t="shared" si="38"/>
        <v>27229443.940000001</v>
      </c>
      <c r="S26" s="62">
        <f t="shared" si="38"/>
        <v>60438700</v>
      </c>
      <c r="T26" s="62">
        <f t="shared" si="38"/>
        <v>41420452</v>
      </c>
      <c r="U26" s="62">
        <f t="shared" si="38"/>
        <v>26267300</v>
      </c>
      <c r="V26" s="62">
        <f t="shared" si="38"/>
        <v>26267300</v>
      </c>
      <c r="W26" s="62">
        <f t="shared" ref="W26:AB26" si="39">+SUM(W27:W31)</f>
        <v>47945000</v>
      </c>
      <c r="X26" s="62">
        <f t="shared" si="39"/>
        <v>31207141.939999998</v>
      </c>
      <c r="Y26" s="62">
        <f t="shared" si="39"/>
        <v>19429400</v>
      </c>
      <c r="Z26" s="62">
        <f t="shared" si="39"/>
        <v>18740728.109999999</v>
      </c>
      <c r="AA26" s="62">
        <f t="shared" si="39"/>
        <v>17747700</v>
      </c>
      <c r="AB26" s="63">
        <f t="shared" si="39"/>
        <v>24878196.629999999</v>
      </c>
      <c r="AC26" s="62">
        <f t="shared" ref="AC26:AD26" si="40">+SUM(AC27:AC31)</f>
        <v>112212600</v>
      </c>
      <c r="AD26" s="62">
        <f t="shared" si="40"/>
        <v>74890458</v>
      </c>
      <c r="AE26" s="62">
        <f t="shared" ref="AE26:AJ26" si="41">+SUM(AE27:AE31)</f>
        <v>28426900</v>
      </c>
      <c r="AF26" s="62">
        <f t="shared" si="41"/>
        <v>26150269</v>
      </c>
      <c r="AG26" s="62">
        <f t="shared" si="41"/>
        <v>56220800</v>
      </c>
      <c r="AH26" s="63">
        <f t="shared" si="41"/>
        <v>42330675.950000003</v>
      </c>
      <c r="AI26" s="62">
        <f t="shared" si="41"/>
        <v>84578600</v>
      </c>
      <c r="AJ26" s="62">
        <f t="shared" si="41"/>
        <v>83080326.710000008</v>
      </c>
    </row>
    <row r="27" spans="1:36">
      <c r="A27" s="39">
        <v>210201</v>
      </c>
      <c r="B27" s="39" t="s">
        <v>14</v>
      </c>
      <c r="C27" s="40">
        <v>34160000</v>
      </c>
      <c r="D27" s="41">
        <v>30766235.739999998</v>
      </c>
      <c r="E27" s="95">
        <v>250328400</v>
      </c>
      <c r="F27" s="40">
        <v>335095741.5</v>
      </c>
      <c r="G27" s="40">
        <v>16336700</v>
      </c>
      <c r="H27" s="41">
        <v>14495468.24</v>
      </c>
      <c r="I27" s="40">
        <v>20357800</v>
      </c>
      <c r="J27" s="40">
        <v>18318655.109999999</v>
      </c>
      <c r="K27" s="40">
        <v>23535300</v>
      </c>
      <c r="L27" s="71">
        <v>21984816.539999999</v>
      </c>
      <c r="M27" s="40">
        <v>19574100</v>
      </c>
      <c r="N27" s="40">
        <v>12241234</v>
      </c>
      <c r="O27" s="40">
        <v>42133500</v>
      </c>
      <c r="P27" s="40">
        <v>33377260.670000002</v>
      </c>
      <c r="Q27" s="45">
        <f>9103500+1875000+1875000</f>
        <v>12853500</v>
      </c>
      <c r="R27" s="71">
        <v>17910382.23</v>
      </c>
      <c r="S27" s="40">
        <v>44864500</v>
      </c>
      <c r="T27" s="40">
        <v>24968989</v>
      </c>
      <c r="U27" s="45">
        <v>16519200</v>
      </c>
      <c r="V27" s="45">
        <v>16519200</v>
      </c>
      <c r="W27" s="95">
        <v>31084200</v>
      </c>
      <c r="X27" s="40">
        <v>21979212.850000001</v>
      </c>
      <c r="Y27" s="40">
        <v>13212200</v>
      </c>
      <c r="Z27" s="40">
        <v>12778476.029999999</v>
      </c>
      <c r="AA27" s="45">
        <v>12789100</v>
      </c>
      <c r="AB27" s="110">
        <v>18768759.199999999</v>
      </c>
      <c r="AC27" s="40">
        <v>78254300</v>
      </c>
      <c r="AD27" s="40">
        <v>47647958</v>
      </c>
      <c r="AE27" s="45">
        <v>19953700</v>
      </c>
      <c r="AF27" s="45">
        <v>18494173</v>
      </c>
      <c r="AG27" s="40">
        <v>25502000</v>
      </c>
      <c r="AH27" s="41">
        <v>22809765.879999999</v>
      </c>
      <c r="AI27" s="40">
        <v>54471700</v>
      </c>
      <c r="AJ27" s="40">
        <v>65884534.370000005</v>
      </c>
    </row>
    <row r="28" spans="1:36">
      <c r="A28" s="39">
        <v>210202</v>
      </c>
      <c r="B28" s="39" t="s">
        <v>15</v>
      </c>
      <c r="C28" s="40">
        <v>3595700</v>
      </c>
      <c r="D28" s="41">
        <v>3792100</v>
      </c>
      <c r="E28" s="95">
        <v>28828700</v>
      </c>
      <c r="F28" s="40">
        <v>38786986.93</v>
      </c>
      <c r="G28" s="40">
        <v>1922000</v>
      </c>
      <c r="H28" s="41">
        <v>1705349.61</v>
      </c>
      <c r="I28" s="40">
        <v>2174200</v>
      </c>
      <c r="J28" s="40">
        <v>2174200</v>
      </c>
      <c r="K28" s="40">
        <v>2031600</v>
      </c>
      <c r="L28" s="71">
        <v>1969230.84</v>
      </c>
      <c r="M28" s="40">
        <v>1945200</v>
      </c>
      <c r="N28" s="40">
        <v>1233144</v>
      </c>
      <c r="O28" s="40">
        <v>4714300</v>
      </c>
      <c r="P28" s="40">
        <v>3620157.69</v>
      </c>
      <c r="Q28" s="45">
        <f>15200000+1168100+524100</f>
        <v>16892200</v>
      </c>
      <c r="R28" s="71">
        <v>2894055.01</v>
      </c>
      <c r="S28" s="40">
        <v>3952600</v>
      </c>
      <c r="T28" s="40">
        <v>3041300</v>
      </c>
      <c r="U28" s="45">
        <v>2393600</v>
      </c>
      <c r="V28" s="45">
        <v>2393600</v>
      </c>
      <c r="W28" s="95">
        <v>6473500</v>
      </c>
      <c r="X28" s="40">
        <v>2306982.2200000002</v>
      </c>
      <c r="Y28" s="40">
        <v>1553200</v>
      </c>
      <c r="Z28" s="40">
        <v>1503336.35</v>
      </c>
      <c r="AA28" s="45">
        <v>1239400</v>
      </c>
      <c r="AB28" s="110">
        <v>1509449.62</v>
      </c>
      <c r="AC28" s="40">
        <v>8280200</v>
      </c>
      <c r="AD28" s="40">
        <v>6789900</v>
      </c>
      <c r="AE28" s="45">
        <v>2492600</v>
      </c>
      <c r="AF28" s="45">
        <v>1717217</v>
      </c>
      <c r="AG28" s="40">
        <v>4696000</v>
      </c>
      <c r="AH28" s="41">
        <v>1910616</v>
      </c>
      <c r="AI28" s="40">
        <v>7498000</v>
      </c>
      <c r="AJ28" s="40">
        <v>5470100</v>
      </c>
    </row>
    <row r="29" spans="1:36">
      <c r="A29" s="39">
        <v>210203</v>
      </c>
      <c r="B29" s="39" t="s">
        <v>16</v>
      </c>
      <c r="C29" s="40">
        <v>2876700</v>
      </c>
      <c r="D29" s="41">
        <v>3033600</v>
      </c>
      <c r="E29" s="95">
        <v>23062900</v>
      </c>
      <c r="F29" s="40">
        <v>30818253.91</v>
      </c>
      <c r="G29" s="40">
        <v>1537500</v>
      </c>
      <c r="H29" s="41">
        <v>3069637.15</v>
      </c>
      <c r="I29" s="40">
        <v>1739500</v>
      </c>
      <c r="J29" s="40">
        <v>1739500</v>
      </c>
      <c r="K29" s="40">
        <v>1633900</v>
      </c>
      <c r="L29" s="71">
        <v>1518208.25</v>
      </c>
      <c r="M29" s="40">
        <v>1556400</v>
      </c>
      <c r="N29" s="40">
        <v>969715</v>
      </c>
      <c r="O29" s="40">
        <v>3772000</v>
      </c>
      <c r="P29" s="40">
        <v>2669966.63</v>
      </c>
      <c r="Q29" s="45">
        <f>419300+934300</f>
        <v>1353600</v>
      </c>
      <c r="R29" s="71">
        <v>1429220.24</v>
      </c>
      <c r="S29" s="40">
        <v>3063300</v>
      </c>
      <c r="T29" s="40">
        <v>7106605</v>
      </c>
      <c r="U29" s="45">
        <v>1920000</v>
      </c>
      <c r="V29" s="45">
        <v>1920000</v>
      </c>
      <c r="W29" s="95">
        <v>2729200</v>
      </c>
      <c r="X29" s="40">
        <v>1845585.77</v>
      </c>
      <c r="Y29" s="40">
        <v>1166200</v>
      </c>
      <c r="Z29" s="40">
        <v>1202229.08</v>
      </c>
      <c r="AA29" s="45">
        <v>1035700</v>
      </c>
      <c r="AB29" s="110">
        <v>999559.65</v>
      </c>
      <c r="AC29" s="40">
        <v>6424300</v>
      </c>
      <c r="AD29" s="40">
        <v>5107200</v>
      </c>
      <c r="AE29" s="45">
        <v>1794400</v>
      </c>
      <c r="AF29" s="45">
        <v>1762932</v>
      </c>
      <c r="AG29" s="40">
        <v>2191100</v>
      </c>
      <c r="AH29" s="41">
        <v>1931631</v>
      </c>
      <c r="AI29" s="40">
        <v>6047600</v>
      </c>
      <c r="AJ29" s="40">
        <v>1131800</v>
      </c>
    </row>
    <row r="30" spans="1:36">
      <c r="A30" s="39">
        <v>210204</v>
      </c>
      <c r="B30" s="39" t="s">
        <v>17</v>
      </c>
      <c r="C30" s="40">
        <v>719000</v>
      </c>
      <c r="D30" s="41">
        <v>758500</v>
      </c>
      <c r="E30" s="95">
        <v>6446600</v>
      </c>
      <c r="F30" s="40">
        <v>8134675.4199999999</v>
      </c>
      <c r="G30" s="40">
        <v>384500</v>
      </c>
      <c r="H30" s="41">
        <v>245697.34</v>
      </c>
      <c r="I30" s="40">
        <v>434700</v>
      </c>
      <c r="J30" s="40">
        <v>434700</v>
      </c>
      <c r="K30" s="40">
        <v>408700</v>
      </c>
      <c r="L30" s="71">
        <v>364088.72</v>
      </c>
      <c r="M30" s="40">
        <v>389300</v>
      </c>
      <c r="N30" s="40">
        <v>217610</v>
      </c>
      <c r="O30" s="40">
        <v>1255000</v>
      </c>
      <c r="P30" s="40">
        <v>1047559.86</v>
      </c>
      <c r="Q30" s="45">
        <f>233800+104800</f>
        <v>338600</v>
      </c>
      <c r="R30" s="71">
        <v>294100</v>
      </c>
      <c r="S30" s="40">
        <v>896000</v>
      </c>
      <c r="T30" s="40">
        <v>821000</v>
      </c>
      <c r="U30" s="45">
        <v>513000</v>
      </c>
      <c r="V30" s="45">
        <v>513000</v>
      </c>
      <c r="W30" s="95">
        <v>695500</v>
      </c>
      <c r="X30" s="40">
        <v>461396.47</v>
      </c>
      <c r="Y30" s="40">
        <v>389500</v>
      </c>
      <c r="Z30" s="40">
        <v>295789.69</v>
      </c>
      <c r="AA30" s="45">
        <v>244300</v>
      </c>
      <c r="AB30" s="110">
        <v>212302.43</v>
      </c>
      <c r="AC30" s="40">
        <v>1747900</v>
      </c>
      <c r="AD30" s="40">
        <v>1394300</v>
      </c>
      <c r="AE30" s="45">
        <v>393000</v>
      </c>
      <c r="AF30" s="45">
        <v>383542</v>
      </c>
      <c r="AG30" s="40">
        <v>473700</v>
      </c>
      <c r="AH30" s="41">
        <v>391516</v>
      </c>
      <c r="AI30" s="40">
        <v>2653800</v>
      </c>
      <c r="AJ30" s="40">
        <v>1225092.3400000001</v>
      </c>
    </row>
    <row r="31" spans="1:36">
      <c r="A31" s="39">
        <v>210205</v>
      </c>
      <c r="B31" s="39" t="s">
        <v>18</v>
      </c>
      <c r="C31" s="40">
        <v>7191700</v>
      </c>
      <c r="D31" s="41">
        <v>7584200</v>
      </c>
      <c r="E31" s="95">
        <v>53457700</v>
      </c>
      <c r="F31" s="40">
        <v>73534876.400000006</v>
      </c>
      <c r="G31" s="40">
        <v>3843900</v>
      </c>
      <c r="H31" s="41">
        <v>2456973.66</v>
      </c>
      <c r="I31" s="40">
        <v>4348800</v>
      </c>
      <c r="J31" s="40">
        <v>4348800</v>
      </c>
      <c r="K31" s="40">
        <v>4087600</v>
      </c>
      <c r="L31" s="71">
        <v>3874792.42</v>
      </c>
      <c r="M31" s="40">
        <v>3890700</v>
      </c>
      <c r="N31" s="40">
        <v>2176710</v>
      </c>
      <c r="O31" s="40">
        <v>11069300</v>
      </c>
      <c r="P31" s="40">
        <v>7228829.1500000004</v>
      </c>
      <c r="Q31" s="45">
        <f>1048100+2336300</f>
        <v>3384400</v>
      </c>
      <c r="R31" s="71">
        <v>4701686.46</v>
      </c>
      <c r="S31" s="40">
        <v>7662300</v>
      </c>
      <c r="T31" s="40">
        <v>5482558</v>
      </c>
      <c r="U31" s="45">
        <v>4921500</v>
      </c>
      <c r="V31" s="45">
        <v>4921500</v>
      </c>
      <c r="W31" s="95">
        <v>6962600</v>
      </c>
      <c r="X31" s="40">
        <v>4613964.63</v>
      </c>
      <c r="Y31" s="40">
        <v>3108300</v>
      </c>
      <c r="Z31" s="40">
        <v>2960896.96</v>
      </c>
      <c r="AA31" s="45">
        <v>2439200</v>
      </c>
      <c r="AB31" s="110">
        <v>3388125.73</v>
      </c>
      <c r="AC31" s="40">
        <v>17505900</v>
      </c>
      <c r="AD31" s="40">
        <v>13951100</v>
      </c>
      <c r="AE31" s="45">
        <v>3793200</v>
      </c>
      <c r="AF31" s="45">
        <v>3792405</v>
      </c>
      <c r="AG31" s="40">
        <v>23358000</v>
      </c>
      <c r="AH31" s="41">
        <v>15287147.07</v>
      </c>
      <c r="AI31" s="40">
        <v>13907500</v>
      </c>
      <c r="AJ31" s="40">
        <v>9368800</v>
      </c>
    </row>
    <row r="32" spans="1:36" ht="15">
      <c r="A32" s="64">
        <v>2103</v>
      </c>
      <c r="B32" s="65" t="s">
        <v>19</v>
      </c>
      <c r="C32" s="62">
        <f t="shared" ref="C32:H32" si="42">+SUM(C33:C35)</f>
        <v>36370000</v>
      </c>
      <c r="D32" s="63">
        <f t="shared" si="42"/>
        <v>31885261</v>
      </c>
      <c r="E32" s="62">
        <f t="shared" ref="E32:F32" si="43">+SUM(E33:E35)</f>
        <v>540004400</v>
      </c>
      <c r="F32" s="62">
        <f t="shared" si="43"/>
        <v>570117836.24000001</v>
      </c>
      <c r="G32" s="63">
        <f t="shared" si="42"/>
        <v>12397800</v>
      </c>
      <c r="H32" s="63">
        <f t="shared" si="42"/>
        <v>11543285</v>
      </c>
      <c r="I32" s="62">
        <f t="shared" ref="I32:J32" si="44">+SUM(I33:I35)</f>
        <v>18229500</v>
      </c>
      <c r="J32" s="62">
        <f t="shared" si="44"/>
        <v>16850197.73</v>
      </c>
      <c r="K32" s="62">
        <f t="shared" ref="K32:M32" si="45">+SUM(K33:K35)</f>
        <v>38866600</v>
      </c>
      <c r="L32" s="62">
        <f t="shared" si="45"/>
        <v>38169881.350000001</v>
      </c>
      <c r="M32" s="62">
        <f t="shared" si="45"/>
        <v>23330300</v>
      </c>
      <c r="N32" s="62">
        <f>+SUM(N33:N35)</f>
        <v>21605982</v>
      </c>
      <c r="O32" s="62">
        <f t="shared" ref="O32:V32" si="46">+SUM(O33:O35)</f>
        <v>38800500</v>
      </c>
      <c r="P32" s="62">
        <f t="shared" si="46"/>
        <v>36393723.880000003</v>
      </c>
      <c r="Q32" s="62">
        <f t="shared" si="46"/>
        <v>11494000</v>
      </c>
      <c r="R32" s="62">
        <f t="shared" si="46"/>
        <v>0</v>
      </c>
      <c r="S32" s="62">
        <f t="shared" si="46"/>
        <v>50819300</v>
      </c>
      <c r="T32" s="62">
        <f t="shared" si="46"/>
        <v>34587402</v>
      </c>
      <c r="U32" s="63">
        <f t="shared" si="46"/>
        <v>62962800</v>
      </c>
      <c r="V32" s="63">
        <f t="shared" si="46"/>
        <v>24161795.940000001</v>
      </c>
      <c r="W32" s="62">
        <f t="shared" ref="W32:AB32" si="47">+SUM(W33:W35)</f>
        <v>18350800</v>
      </c>
      <c r="X32" s="62">
        <f t="shared" si="47"/>
        <v>18693490.509999998</v>
      </c>
      <c r="Y32" s="62">
        <f t="shared" si="47"/>
        <v>21781400</v>
      </c>
      <c r="Z32" s="62">
        <f t="shared" si="47"/>
        <v>18723504</v>
      </c>
      <c r="AA32" s="62">
        <f t="shared" si="47"/>
        <v>13883400</v>
      </c>
      <c r="AB32" s="63">
        <f t="shared" si="47"/>
        <v>16178931.359999999</v>
      </c>
      <c r="AC32" s="62">
        <f t="shared" ref="AC32:AD32" si="48">+SUM(AC33:AC35)</f>
        <v>146565000</v>
      </c>
      <c r="AD32" s="62">
        <f t="shared" si="48"/>
        <v>134287216</v>
      </c>
      <c r="AE32" s="62">
        <f t="shared" ref="AE32" si="49">+SUM(AE33:AE35)</f>
        <v>24010500</v>
      </c>
      <c r="AF32" s="62">
        <f>+SUM(AF33:AF35)</f>
        <v>22200879.330000002</v>
      </c>
      <c r="AG32" s="62">
        <f t="shared" ref="AG32:AJ32" si="50">+SUM(AG33:AG35)</f>
        <v>23358000</v>
      </c>
      <c r="AH32" s="63">
        <f t="shared" si="50"/>
        <v>15287147.07</v>
      </c>
      <c r="AI32" s="62">
        <f t="shared" si="50"/>
        <v>92348400</v>
      </c>
      <c r="AJ32" s="62">
        <f t="shared" si="50"/>
        <v>75448461.269999996</v>
      </c>
    </row>
    <row r="33" spans="1:36">
      <c r="A33" s="39">
        <v>210301</v>
      </c>
      <c r="B33" s="39" t="s">
        <v>20</v>
      </c>
      <c r="C33" s="40">
        <v>5667000</v>
      </c>
      <c r="D33" s="41">
        <v>4489685</v>
      </c>
      <c r="E33" s="40">
        <v>121779200</v>
      </c>
      <c r="F33" s="40">
        <v>125949476.3</v>
      </c>
      <c r="G33" s="40">
        <v>3733300</v>
      </c>
      <c r="H33" s="40">
        <v>2928732</v>
      </c>
      <c r="I33" s="40">
        <v>3000000</v>
      </c>
      <c r="J33" s="40">
        <v>2219309.23</v>
      </c>
      <c r="K33" s="40">
        <v>3618600</v>
      </c>
      <c r="L33" s="40">
        <v>2803781.35</v>
      </c>
      <c r="M33" s="40">
        <v>1630000</v>
      </c>
      <c r="N33" s="40">
        <v>1369313</v>
      </c>
      <c r="O33" s="40">
        <v>5600000</v>
      </c>
      <c r="P33" s="40">
        <v>3988146.28</v>
      </c>
      <c r="Q33" s="45">
        <v>2500200</v>
      </c>
      <c r="R33" s="46"/>
      <c r="S33" s="40">
        <v>6028300</v>
      </c>
      <c r="T33" s="40">
        <v>5340400</v>
      </c>
      <c r="U33" s="45">
        <v>5327800</v>
      </c>
      <c r="V33" s="46">
        <v>1552436.94</v>
      </c>
      <c r="W33" s="40">
        <v>2840000</v>
      </c>
      <c r="X33" s="40">
        <v>2353145.5099999998</v>
      </c>
      <c r="Y33" s="40">
        <v>1999400</v>
      </c>
      <c r="Z33" s="40">
        <v>1356132</v>
      </c>
      <c r="AA33" s="45">
        <v>1933400</v>
      </c>
      <c r="AB33" s="109">
        <v>2951332.36</v>
      </c>
      <c r="AC33" s="40">
        <v>21550000</v>
      </c>
      <c r="AD33" s="40">
        <v>16151511</v>
      </c>
      <c r="AE33" s="45">
        <v>4125500</v>
      </c>
      <c r="AF33" s="46">
        <v>2588931.6</v>
      </c>
      <c r="AG33" s="40">
        <v>2620000</v>
      </c>
      <c r="AH33" s="41">
        <v>1611442.07</v>
      </c>
      <c r="AI33" s="40">
        <v>28400000</v>
      </c>
      <c r="AJ33" s="40">
        <v>22766311.27</v>
      </c>
    </row>
    <row r="34" spans="1:36">
      <c r="A34" s="39">
        <v>210302</v>
      </c>
      <c r="B34" s="39" t="s">
        <v>21</v>
      </c>
      <c r="C34" s="40">
        <v>25698000</v>
      </c>
      <c r="D34" s="41">
        <v>23399420</v>
      </c>
      <c r="E34" s="40">
        <v>234934900</v>
      </c>
      <c r="F34" s="40">
        <v>260164484.49000001</v>
      </c>
      <c r="G34" s="40">
        <v>7393400</v>
      </c>
      <c r="H34" s="40">
        <v>6370303</v>
      </c>
      <c r="I34" s="40">
        <v>14229500</v>
      </c>
      <c r="J34" s="40">
        <v>14038238.5</v>
      </c>
      <c r="K34" s="40">
        <v>34128000</v>
      </c>
      <c r="L34" s="40">
        <v>34128000</v>
      </c>
      <c r="M34" s="40">
        <v>18938500</v>
      </c>
      <c r="N34" s="40">
        <v>17862833</v>
      </c>
      <c r="O34" s="40">
        <v>26610500</v>
      </c>
      <c r="P34" s="40">
        <v>26610287</v>
      </c>
      <c r="Q34" s="45">
        <v>7744000</v>
      </c>
      <c r="R34" s="46"/>
      <c r="S34" s="40">
        <v>37959000</v>
      </c>
      <c r="T34" s="40">
        <v>27384720</v>
      </c>
      <c r="U34" s="45">
        <v>52635000</v>
      </c>
      <c r="V34" s="46">
        <v>21592329</v>
      </c>
      <c r="W34" s="40">
        <v>11350800</v>
      </c>
      <c r="X34" s="40">
        <v>12940345</v>
      </c>
      <c r="Y34" s="40">
        <v>17692000</v>
      </c>
      <c r="Z34" s="40">
        <v>17367372</v>
      </c>
      <c r="AA34" s="45">
        <v>10800000</v>
      </c>
      <c r="AB34" s="109">
        <v>11271150</v>
      </c>
      <c r="AC34" s="40">
        <v>116400000</v>
      </c>
      <c r="AD34" s="40">
        <v>112982170</v>
      </c>
      <c r="AE34" s="45">
        <v>17385000</v>
      </c>
      <c r="AF34" s="46">
        <v>17384675</v>
      </c>
      <c r="AG34" s="40">
        <v>19300000</v>
      </c>
      <c r="AH34" s="41">
        <v>12815705</v>
      </c>
      <c r="AI34" s="40">
        <v>12901600</v>
      </c>
      <c r="AJ34" s="40">
        <v>14609250</v>
      </c>
    </row>
    <row r="35" spans="1:36">
      <c r="A35" s="39">
        <v>210303</v>
      </c>
      <c r="B35" s="39" t="s">
        <v>22</v>
      </c>
      <c r="C35" s="40">
        <v>5005000</v>
      </c>
      <c r="D35" s="41">
        <v>3996156</v>
      </c>
      <c r="E35" s="40">
        <v>183290300</v>
      </c>
      <c r="F35" s="40">
        <v>184003875.44999999</v>
      </c>
      <c r="G35" s="40">
        <v>1271100</v>
      </c>
      <c r="H35" s="40">
        <v>2244250</v>
      </c>
      <c r="I35" s="40">
        <v>1000000</v>
      </c>
      <c r="J35" s="40">
        <v>592650</v>
      </c>
      <c r="K35" s="40">
        <v>1120000</v>
      </c>
      <c r="L35" s="40">
        <v>1238100</v>
      </c>
      <c r="M35" s="40">
        <v>2761800</v>
      </c>
      <c r="N35" s="40">
        <v>2373836</v>
      </c>
      <c r="O35" s="40">
        <v>6590000</v>
      </c>
      <c r="P35" s="40">
        <v>5795290.5999999996</v>
      </c>
      <c r="Q35" s="45">
        <v>1249800</v>
      </c>
      <c r="R35" s="46"/>
      <c r="S35" s="40">
        <v>6832000</v>
      </c>
      <c r="T35" s="40">
        <v>1862282</v>
      </c>
      <c r="U35" s="45">
        <v>5000000</v>
      </c>
      <c r="V35" s="46">
        <v>1017030</v>
      </c>
      <c r="W35" s="40">
        <v>4160000</v>
      </c>
      <c r="X35" s="40">
        <v>3400000</v>
      </c>
      <c r="Y35" s="40">
        <v>2090000</v>
      </c>
      <c r="Z35" s="40"/>
      <c r="AA35" s="45">
        <v>1150000</v>
      </c>
      <c r="AB35" s="109">
        <v>1956449</v>
      </c>
      <c r="AC35" s="40">
        <v>8615000</v>
      </c>
      <c r="AD35" s="40">
        <v>5153535</v>
      </c>
      <c r="AE35" s="45">
        <v>2500000</v>
      </c>
      <c r="AF35" s="46">
        <v>2227272.73</v>
      </c>
      <c r="AG35" s="40">
        <v>1438000</v>
      </c>
      <c r="AH35" s="41">
        <v>860000</v>
      </c>
      <c r="AI35" s="40">
        <v>51046800</v>
      </c>
      <c r="AJ35" s="40">
        <v>38072900</v>
      </c>
    </row>
    <row r="36" spans="1:36" ht="15">
      <c r="A36" s="64">
        <v>2104</v>
      </c>
      <c r="B36" s="65" t="s">
        <v>23</v>
      </c>
      <c r="C36" s="62">
        <f t="shared" ref="C36:N36" si="51">+SUM(C37:C41)</f>
        <v>24821000</v>
      </c>
      <c r="D36" s="63">
        <f t="shared" si="51"/>
        <v>21903702</v>
      </c>
      <c r="E36" s="62">
        <f t="shared" si="51"/>
        <v>149265300</v>
      </c>
      <c r="F36" s="62">
        <f t="shared" si="51"/>
        <v>233394078</v>
      </c>
      <c r="G36" s="63">
        <f t="shared" si="51"/>
        <v>15735400</v>
      </c>
      <c r="H36" s="63">
        <f t="shared" si="51"/>
        <v>14249083</v>
      </c>
      <c r="I36" s="62">
        <f t="shared" si="51"/>
        <v>28927200</v>
      </c>
      <c r="J36" s="62">
        <f t="shared" si="51"/>
        <v>17252095</v>
      </c>
      <c r="K36" s="62">
        <f t="shared" si="51"/>
        <v>42213400</v>
      </c>
      <c r="L36" s="62">
        <f t="shared" si="51"/>
        <v>40221670</v>
      </c>
      <c r="M36" s="62">
        <f t="shared" si="51"/>
        <v>34056100</v>
      </c>
      <c r="N36" s="62">
        <f t="shared" si="51"/>
        <v>23640528</v>
      </c>
      <c r="O36" s="62">
        <f t="shared" ref="O36:T36" si="52">+SUM(O37:O41)</f>
        <v>49467700</v>
      </c>
      <c r="P36" s="62">
        <f t="shared" si="52"/>
        <v>33167696.5</v>
      </c>
      <c r="Q36" s="62">
        <f t="shared" si="52"/>
        <v>32389300</v>
      </c>
      <c r="R36" s="62">
        <f t="shared" si="52"/>
        <v>33724245</v>
      </c>
      <c r="S36" s="62">
        <f t="shared" si="52"/>
        <v>59507600</v>
      </c>
      <c r="T36" s="62">
        <f t="shared" si="52"/>
        <v>46829341</v>
      </c>
      <c r="U36" s="62">
        <f t="shared" ref="U36:V36" si="53">+SUM(U37:U41)</f>
        <v>28250600</v>
      </c>
      <c r="V36" s="62">
        <f t="shared" si="53"/>
        <v>25461200</v>
      </c>
      <c r="W36" s="62">
        <f t="shared" ref="W36:AB36" si="54">+SUM(W37:W41)</f>
        <v>40355900</v>
      </c>
      <c r="X36" s="62">
        <f t="shared" si="54"/>
        <v>20842710</v>
      </c>
      <c r="Y36" s="62">
        <f t="shared" si="54"/>
        <v>25883900</v>
      </c>
      <c r="Z36" s="62">
        <f t="shared" si="54"/>
        <v>23320129</v>
      </c>
      <c r="AA36" s="62">
        <f t="shared" si="54"/>
        <v>34174200</v>
      </c>
      <c r="AB36" s="63">
        <f t="shared" si="54"/>
        <v>37198720</v>
      </c>
      <c r="AC36" s="62">
        <f t="shared" ref="AC36:AD36" si="55">+SUM(AC37:AC41)</f>
        <v>119071200</v>
      </c>
      <c r="AD36" s="62">
        <f t="shared" si="55"/>
        <v>63528063</v>
      </c>
      <c r="AE36" s="62">
        <f t="shared" ref="AE36:AJ36" si="56">+SUM(AE37:AE41)</f>
        <v>23490100</v>
      </c>
      <c r="AF36" s="62">
        <f t="shared" si="56"/>
        <v>18523050</v>
      </c>
      <c r="AG36" s="62">
        <f t="shared" si="56"/>
        <v>48756300</v>
      </c>
      <c r="AH36" s="63">
        <f t="shared" si="56"/>
        <v>28258555.449999999</v>
      </c>
      <c r="AI36" s="62">
        <f t="shared" si="56"/>
        <v>46156700</v>
      </c>
      <c r="AJ36" s="62">
        <f t="shared" si="56"/>
        <v>32033120</v>
      </c>
    </row>
    <row r="37" spans="1:36">
      <c r="A37" s="39">
        <v>210401</v>
      </c>
      <c r="B37" s="39" t="s">
        <v>24</v>
      </c>
      <c r="C37" s="40">
        <v>2414000</v>
      </c>
      <c r="D37" s="41">
        <v>2108200</v>
      </c>
      <c r="E37" s="40">
        <v>16002100</v>
      </c>
      <c r="F37" s="40">
        <v>24038750</v>
      </c>
      <c r="G37" s="40">
        <v>1059800</v>
      </c>
      <c r="H37" s="40">
        <v>1057450</v>
      </c>
      <c r="I37" s="40">
        <v>3450200</v>
      </c>
      <c r="J37" s="40">
        <v>1538400</v>
      </c>
      <c r="K37" s="40">
        <v>5803600</v>
      </c>
      <c r="L37" s="46">
        <v>5536900</v>
      </c>
      <c r="M37" s="40">
        <v>1697600</v>
      </c>
      <c r="N37" s="40">
        <v>1296300</v>
      </c>
      <c r="O37" s="40">
        <v>4702000</v>
      </c>
      <c r="P37" s="40">
        <v>2577530</v>
      </c>
      <c r="Q37" s="45">
        <v>3219800</v>
      </c>
      <c r="R37" s="46">
        <v>1515500</v>
      </c>
      <c r="S37" s="40">
        <v>4834000</v>
      </c>
      <c r="T37" s="40">
        <v>2334320</v>
      </c>
      <c r="U37" s="45">
        <v>2700000</v>
      </c>
      <c r="V37" s="46">
        <v>1222500</v>
      </c>
      <c r="W37" s="40">
        <v>1663000</v>
      </c>
      <c r="X37" s="40">
        <v>1264500</v>
      </c>
      <c r="Y37" s="40">
        <v>4721600</v>
      </c>
      <c r="Z37" s="40">
        <v>4217750</v>
      </c>
      <c r="AA37" s="45">
        <v>2335000</v>
      </c>
      <c r="AB37" s="109">
        <v>1840000</v>
      </c>
      <c r="AC37" s="40">
        <v>8000000</v>
      </c>
      <c r="AD37" s="40">
        <v>4596750</v>
      </c>
      <c r="AE37" s="45">
        <v>1070100</v>
      </c>
      <c r="AF37" s="46">
        <v>851550</v>
      </c>
      <c r="AG37" s="40">
        <v>11377600</v>
      </c>
      <c r="AH37" s="41">
        <v>3352513.5</v>
      </c>
      <c r="AI37" s="40">
        <v>2750000</v>
      </c>
      <c r="AJ37" s="40">
        <v>3171900</v>
      </c>
    </row>
    <row r="38" spans="1:36">
      <c r="A38" s="39">
        <v>210402</v>
      </c>
      <c r="B38" s="39" t="s">
        <v>25</v>
      </c>
      <c r="C38" s="40">
        <v>11776000</v>
      </c>
      <c r="D38" s="41">
        <v>11234233</v>
      </c>
      <c r="E38" s="40">
        <v>53394600</v>
      </c>
      <c r="F38" s="40">
        <v>101591000</v>
      </c>
      <c r="G38" s="40">
        <v>10958600</v>
      </c>
      <c r="H38" s="40">
        <v>10640901</v>
      </c>
      <c r="I38" s="40">
        <v>16000000</v>
      </c>
      <c r="J38" s="40">
        <v>11500000</v>
      </c>
      <c r="K38" s="40">
        <v>25396300</v>
      </c>
      <c r="L38" s="46">
        <v>24048870</v>
      </c>
      <c r="M38" s="40">
        <v>24987500</v>
      </c>
      <c r="N38" s="40">
        <v>17472328</v>
      </c>
      <c r="O38" s="40">
        <v>38123000</v>
      </c>
      <c r="P38" s="40">
        <v>23254536</v>
      </c>
      <c r="Q38" s="45">
        <f>7425700+7122300+9500000</f>
        <v>24048000</v>
      </c>
      <c r="R38" s="46">
        <v>27012405</v>
      </c>
      <c r="S38" s="40">
        <v>28927000</v>
      </c>
      <c r="T38" s="40">
        <v>30628236</v>
      </c>
      <c r="U38" s="45">
        <v>17673000</v>
      </c>
      <c r="V38" s="46">
        <v>17605700</v>
      </c>
      <c r="W38" s="40">
        <v>32116400</v>
      </c>
      <c r="X38" s="40">
        <v>15969210</v>
      </c>
      <c r="Y38" s="40">
        <v>16911900</v>
      </c>
      <c r="Z38" s="40">
        <v>15300000</v>
      </c>
      <c r="AA38" s="45">
        <v>8949200</v>
      </c>
      <c r="AB38" s="109">
        <v>14572300</v>
      </c>
      <c r="AC38" s="40">
        <v>59248000</v>
      </c>
      <c r="AD38" s="40">
        <v>33548000</v>
      </c>
      <c r="AE38" s="45">
        <v>16591000</v>
      </c>
      <c r="AF38" s="46">
        <v>12500000</v>
      </c>
      <c r="AG38" s="40">
        <v>20422000</v>
      </c>
      <c r="AH38" s="41">
        <v>16661620.449999999</v>
      </c>
      <c r="AI38" s="40">
        <v>28562000</v>
      </c>
      <c r="AJ38" s="40">
        <v>18117800</v>
      </c>
    </row>
    <row r="39" spans="1:36">
      <c r="A39" s="39">
        <v>210403</v>
      </c>
      <c r="B39" s="39" t="s">
        <v>26</v>
      </c>
      <c r="C39" s="40">
        <v>8448000</v>
      </c>
      <c r="D39" s="41">
        <v>6326469</v>
      </c>
      <c r="E39" s="40">
        <v>7735400</v>
      </c>
      <c r="F39" s="40">
        <v>17096700</v>
      </c>
      <c r="G39" s="40">
        <v>485600</v>
      </c>
      <c r="H39" s="40">
        <v>490602</v>
      </c>
      <c r="I39" s="40">
        <v>3101800</v>
      </c>
      <c r="J39" s="40">
        <v>2257395</v>
      </c>
      <c r="K39" s="40">
        <v>2187500</v>
      </c>
      <c r="L39" s="46">
        <v>2343700</v>
      </c>
      <c r="M39" s="40">
        <v>869000</v>
      </c>
      <c r="N39" s="40">
        <v>782100</v>
      </c>
      <c r="O39" s="40">
        <v>1518000</v>
      </c>
      <c r="P39" s="40">
        <v>1062600</v>
      </c>
      <c r="Q39" s="45">
        <f>817000+350000</f>
        <v>1167000</v>
      </c>
      <c r="R39" s="46">
        <v>856640</v>
      </c>
      <c r="S39" s="40">
        <v>4500000</v>
      </c>
      <c r="T39" s="40">
        <v>3389455</v>
      </c>
      <c r="U39" s="45">
        <v>3630000</v>
      </c>
      <c r="V39" s="46">
        <v>2937000</v>
      </c>
      <c r="W39" s="40">
        <v>1299000</v>
      </c>
      <c r="X39" s="40">
        <v>506000</v>
      </c>
      <c r="Y39" s="40">
        <v>1667000</v>
      </c>
      <c r="Z39" s="40">
        <v>1643179</v>
      </c>
      <c r="AA39" s="45">
        <v>873200</v>
      </c>
      <c r="AB39" s="109">
        <v>1402520</v>
      </c>
      <c r="AC39" s="40">
        <v>3540000</v>
      </c>
      <c r="AD39" s="40">
        <v>2364913</v>
      </c>
      <c r="AE39" s="45">
        <v>2739000</v>
      </c>
      <c r="AF39" s="46">
        <v>2980000</v>
      </c>
      <c r="AG39" s="40">
        <v>3966000</v>
      </c>
      <c r="AH39" s="41">
        <v>1876900</v>
      </c>
      <c r="AI39" s="40">
        <v>2800000</v>
      </c>
      <c r="AJ39" s="40">
        <v>2332520</v>
      </c>
    </row>
    <row r="40" spans="1:36">
      <c r="A40" s="39">
        <v>210405</v>
      </c>
      <c r="B40" s="39" t="s">
        <v>27</v>
      </c>
      <c r="C40" s="40">
        <v>100000</v>
      </c>
      <c r="D40" s="41">
        <v>60000</v>
      </c>
      <c r="E40" s="40">
        <v>18661600</v>
      </c>
      <c r="F40" s="40">
        <v>22215000</v>
      </c>
      <c r="G40" s="40">
        <v>1233000</v>
      </c>
      <c r="H40" s="40">
        <v>90000</v>
      </c>
      <c r="I40" s="40">
        <v>275000</v>
      </c>
      <c r="J40" s="40">
        <v>120000</v>
      </c>
      <c r="K40" s="40">
        <v>80900</v>
      </c>
      <c r="L40" s="46"/>
      <c r="M40" s="40">
        <v>60000</v>
      </c>
      <c r="N40" s="40">
        <v>45000</v>
      </c>
      <c r="O40" s="40">
        <v>100000</v>
      </c>
      <c r="P40" s="40"/>
      <c r="Q40" s="45">
        <v>120000</v>
      </c>
      <c r="R40" s="46">
        <v>60000</v>
      </c>
      <c r="S40" s="40">
        <v>8451000</v>
      </c>
      <c r="T40" s="40">
        <v>4000000</v>
      </c>
      <c r="U40" s="45">
        <v>100000</v>
      </c>
      <c r="V40" s="46"/>
      <c r="W40" s="40">
        <v>190000</v>
      </c>
      <c r="X40" s="40"/>
      <c r="Y40" s="40">
        <v>100000</v>
      </c>
      <c r="Z40" s="40"/>
      <c r="AA40" s="45">
        <v>60000</v>
      </c>
      <c r="AB40" s="109"/>
      <c r="AC40" s="40">
        <v>6333200</v>
      </c>
      <c r="AD40" s="40">
        <v>2300000</v>
      </c>
      <c r="AE40" s="45">
        <v>390000</v>
      </c>
      <c r="AF40" s="46"/>
      <c r="AG40" s="40">
        <v>120000</v>
      </c>
      <c r="AH40" s="41">
        <v>108000</v>
      </c>
      <c r="AI40" s="40">
        <v>5600000</v>
      </c>
      <c r="AJ40" s="40">
        <v>3461600</v>
      </c>
    </row>
    <row r="41" spans="1:36">
      <c r="A41" s="39">
        <v>210406</v>
      </c>
      <c r="B41" s="39" t="s">
        <v>28</v>
      </c>
      <c r="C41" s="40">
        <v>2083000</v>
      </c>
      <c r="D41" s="41">
        <v>2174800</v>
      </c>
      <c r="E41" s="40">
        <v>53471600</v>
      </c>
      <c r="F41" s="40">
        <v>68452628</v>
      </c>
      <c r="G41" s="40">
        <v>1998400</v>
      </c>
      <c r="H41" s="40">
        <v>1970130</v>
      </c>
      <c r="I41" s="40">
        <v>6100200</v>
      </c>
      <c r="J41" s="40">
        <v>1836300</v>
      </c>
      <c r="K41" s="40">
        <v>8745100</v>
      </c>
      <c r="L41" s="46">
        <v>8292200</v>
      </c>
      <c r="M41" s="40">
        <v>6442000</v>
      </c>
      <c r="N41" s="40">
        <v>4044800</v>
      </c>
      <c r="O41" s="40">
        <v>5024700</v>
      </c>
      <c r="P41" s="40">
        <v>6273030.5</v>
      </c>
      <c r="Q41" s="45">
        <f>1499000+835500+1500000</f>
        <v>3834500</v>
      </c>
      <c r="R41" s="46">
        <v>4279700</v>
      </c>
      <c r="S41" s="40">
        <v>12795600</v>
      </c>
      <c r="T41" s="40">
        <v>6477330</v>
      </c>
      <c r="U41" s="45">
        <v>4147600</v>
      </c>
      <c r="V41" s="46">
        <v>3696000</v>
      </c>
      <c r="W41" s="40">
        <v>5087500</v>
      </c>
      <c r="X41" s="40">
        <v>3103000</v>
      </c>
      <c r="Y41" s="40">
        <v>2483400</v>
      </c>
      <c r="Z41" s="40">
        <v>2159200</v>
      </c>
      <c r="AA41" s="45">
        <v>21956800</v>
      </c>
      <c r="AB41" s="109">
        <v>19383900</v>
      </c>
      <c r="AC41" s="40">
        <v>41950000</v>
      </c>
      <c r="AD41" s="40">
        <v>20718400</v>
      </c>
      <c r="AE41" s="45">
        <v>2700000</v>
      </c>
      <c r="AF41" s="46">
        <v>2191500</v>
      </c>
      <c r="AG41" s="40">
        <v>12870700</v>
      </c>
      <c r="AH41" s="41">
        <v>6259521.5</v>
      </c>
      <c r="AI41" s="40">
        <v>6444700</v>
      </c>
      <c r="AJ41" s="40">
        <v>4949300</v>
      </c>
    </row>
    <row r="42" spans="1:36" ht="15">
      <c r="A42" s="64">
        <v>2105</v>
      </c>
      <c r="B42" s="65" t="s">
        <v>29</v>
      </c>
      <c r="C42" s="62">
        <f t="shared" ref="C42:H42" si="57">+SUM(C43:C45)</f>
        <v>4198700</v>
      </c>
      <c r="D42" s="63">
        <f t="shared" si="57"/>
        <v>985800</v>
      </c>
      <c r="E42" s="63">
        <f t="shared" si="57"/>
        <v>3821309400</v>
      </c>
      <c r="F42" s="63">
        <f t="shared" si="57"/>
        <v>4286947800.4000001</v>
      </c>
      <c r="G42" s="63">
        <f t="shared" si="57"/>
        <v>21544600</v>
      </c>
      <c r="H42" s="63">
        <f t="shared" si="57"/>
        <v>11494020</v>
      </c>
      <c r="I42" s="62">
        <f t="shared" ref="I42:J42" si="58">+SUM(I43:I45)</f>
        <v>76060600</v>
      </c>
      <c r="J42" s="62">
        <f t="shared" si="58"/>
        <v>44946314</v>
      </c>
      <c r="K42" s="62">
        <f t="shared" ref="K42:N42" si="59">+SUM(K43:K45)</f>
        <v>74575600</v>
      </c>
      <c r="L42" s="62">
        <f t="shared" si="59"/>
        <v>69268070</v>
      </c>
      <c r="M42" s="62">
        <f t="shared" si="59"/>
        <v>77325400</v>
      </c>
      <c r="N42" s="62">
        <f t="shared" si="59"/>
        <v>57409905</v>
      </c>
      <c r="O42" s="62">
        <f t="shared" ref="O42:T42" si="60">+SUM(O43:O45)</f>
        <v>201782000</v>
      </c>
      <c r="P42" s="62">
        <f t="shared" si="60"/>
        <v>120904300.40000001</v>
      </c>
      <c r="Q42" s="62">
        <f t="shared" si="60"/>
        <v>52276300</v>
      </c>
      <c r="R42" s="62">
        <f t="shared" si="60"/>
        <v>49127496</v>
      </c>
      <c r="S42" s="62">
        <f t="shared" si="60"/>
        <v>143231900</v>
      </c>
      <c r="T42" s="62">
        <f t="shared" si="60"/>
        <v>69926038.060000002</v>
      </c>
      <c r="U42" s="62">
        <f t="shared" ref="U42:V42" si="61">+SUM(U43:U45)</f>
        <v>51639000</v>
      </c>
      <c r="V42" s="62">
        <f t="shared" si="61"/>
        <v>34080996.909999996</v>
      </c>
      <c r="W42" s="76">
        <f t="shared" ref="W42:AD42" si="62">+SUM(W43:W45)</f>
        <v>135221900</v>
      </c>
      <c r="X42" s="76">
        <f t="shared" si="62"/>
        <v>66755253</v>
      </c>
      <c r="Y42" s="62">
        <f t="shared" si="62"/>
        <v>64780300</v>
      </c>
      <c r="Z42" s="62">
        <f t="shared" si="62"/>
        <v>27059573</v>
      </c>
      <c r="AA42" s="62">
        <f t="shared" si="62"/>
        <v>44576800</v>
      </c>
      <c r="AB42" s="63">
        <f t="shared" si="62"/>
        <v>47560117.240000002</v>
      </c>
      <c r="AC42" s="62">
        <f t="shared" si="62"/>
        <v>258174600</v>
      </c>
      <c r="AD42" s="62">
        <f t="shared" si="62"/>
        <v>224802216.5</v>
      </c>
      <c r="AE42" s="62">
        <f>+SUM(AE43:AE45)</f>
        <v>54997200</v>
      </c>
      <c r="AF42" s="62">
        <f t="shared" ref="AF42:AJ42" si="63">+SUM(AF43:AF45)</f>
        <v>36947198</v>
      </c>
      <c r="AG42" s="62">
        <f t="shared" si="63"/>
        <v>104304200</v>
      </c>
      <c r="AH42" s="63">
        <f t="shared" si="63"/>
        <v>58607438.5</v>
      </c>
      <c r="AI42" s="62">
        <f t="shared" si="63"/>
        <v>180085700</v>
      </c>
      <c r="AJ42" s="62">
        <f t="shared" si="63"/>
        <v>197737252.5</v>
      </c>
    </row>
    <row r="43" spans="1:36">
      <c r="A43" s="39">
        <v>210501</v>
      </c>
      <c r="B43" s="39" t="s">
        <v>30</v>
      </c>
      <c r="C43" s="40">
        <v>817000</v>
      </c>
      <c r="D43" s="41">
        <v>490800</v>
      </c>
      <c r="E43" s="40">
        <v>3373145700</v>
      </c>
      <c r="F43" s="40">
        <v>3771763079.4000001</v>
      </c>
      <c r="G43" s="40">
        <v>16719600</v>
      </c>
      <c r="H43" s="40">
        <v>9448020</v>
      </c>
      <c r="I43" s="40">
        <v>60547000</v>
      </c>
      <c r="J43" s="40">
        <v>38460841</v>
      </c>
      <c r="K43" s="45">
        <v>59244000</v>
      </c>
      <c r="L43" s="46">
        <v>54884820</v>
      </c>
      <c r="M43" s="40">
        <v>63019600</v>
      </c>
      <c r="N43" s="40">
        <v>47122005</v>
      </c>
      <c r="O43" s="40">
        <v>185984700</v>
      </c>
      <c r="P43" s="40">
        <v>108242931.2</v>
      </c>
      <c r="Q43" s="45">
        <f>11252800+2133600+22456700</f>
        <v>35843100</v>
      </c>
      <c r="R43" s="46">
        <v>32595591</v>
      </c>
      <c r="S43" s="40">
        <v>115669000</v>
      </c>
      <c r="T43" s="40">
        <v>50460498.060000002</v>
      </c>
      <c r="U43" s="45">
        <v>42084000</v>
      </c>
      <c r="V43" s="46">
        <v>25998266.91</v>
      </c>
      <c r="W43" s="40">
        <v>102858700</v>
      </c>
      <c r="X43" s="40">
        <v>56235753</v>
      </c>
      <c r="Y43" s="40">
        <v>28631300</v>
      </c>
      <c r="Z43" s="40">
        <v>8525730</v>
      </c>
      <c r="AA43" s="45">
        <v>37576600</v>
      </c>
      <c r="AB43" s="109">
        <v>37344137.240000002</v>
      </c>
      <c r="AC43" s="40">
        <v>223018900</v>
      </c>
      <c r="AD43" s="40">
        <v>207151266.5</v>
      </c>
      <c r="AE43" s="45">
        <v>45828900</v>
      </c>
      <c r="AF43" s="46">
        <v>34197248</v>
      </c>
      <c r="AG43" s="40">
        <v>81388400</v>
      </c>
      <c r="AH43" s="41">
        <v>48045508</v>
      </c>
      <c r="AI43" s="40">
        <v>136573900</v>
      </c>
      <c r="AJ43" s="40">
        <v>165049461</v>
      </c>
    </row>
    <row r="44" spans="1:36">
      <c r="A44" s="39">
        <v>210502</v>
      </c>
      <c r="B44" s="39" t="s">
        <v>31</v>
      </c>
      <c r="C44" s="40"/>
      <c r="D44" s="41"/>
      <c r="E44" s="40">
        <v>381308200</v>
      </c>
      <c r="F44" s="40">
        <v>443849921</v>
      </c>
      <c r="G44" s="40"/>
      <c r="H44" s="40"/>
      <c r="I44" s="40">
        <v>10801300</v>
      </c>
      <c r="J44" s="40">
        <v>6445473</v>
      </c>
      <c r="K44" s="45">
        <v>12533500</v>
      </c>
      <c r="L44" s="46">
        <v>12533250</v>
      </c>
      <c r="M44" s="40">
        <v>11881900</v>
      </c>
      <c r="N44" s="40">
        <v>9817900</v>
      </c>
      <c r="O44" s="40">
        <v>10830000</v>
      </c>
      <c r="P44" s="40">
        <v>7141369.2000000002</v>
      </c>
      <c r="Q44" s="45">
        <f>1500000+2933200+3500000</f>
        <v>7933200</v>
      </c>
      <c r="R44" s="46">
        <v>7834905</v>
      </c>
      <c r="S44" s="40">
        <v>20479000</v>
      </c>
      <c r="T44" s="40">
        <v>12448040</v>
      </c>
      <c r="U44" s="45">
        <v>9167000</v>
      </c>
      <c r="V44" s="46">
        <v>7772730</v>
      </c>
      <c r="W44" s="40">
        <v>18363200</v>
      </c>
      <c r="X44" s="40">
        <v>9959500</v>
      </c>
      <c r="Y44" s="40">
        <v>8340000</v>
      </c>
      <c r="Z44" s="40">
        <v>6831869</v>
      </c>
      <c r="AA44" s="45">
        <v>4750200</v>
      </c>
      <c r="AB44" s="109">
        <v>8003980</v>
      </c>
      <c r="AC44" s="40">
        <v>28181300</v>
      </c>
      <c r="AD44" s="40">
        <v>13289450</v>
      </c>
      <c r="AE44" s="45">
        <v>5418300</v>
      </c>
      <c r="AF44" s="46">
        <v>2749950</v>
      </c>
      <c r="AG44" s="40">
        <v>19241800</v>
      </c>
      <c r="AH44" s="41">
        <v>10561930.5</v>
      </c>
      <c r="AI44" s="40">
        <v>30477800</v>
      </c>
      <c r="AJ44" s="40">
        <v>26682791.5</v>
      </c>
    </row>
    <row r="45" spans="1:36">
      <c r="A45" s="39">
        <v>210503</v>
      </c>
      <c r="B45" s="39" t="s">
        <v>32</v>
      </c>
      <c r="C45" s="40">
        <v>3381700</v>
      </c>
      <c r="D45" s="41">
        <v>495000</v>
      </c>
      <c r="E45" s="40">
        <v>66855500</v>
      </c>
      <c r="F45" s="40">
        <v>71334800</v>
      </c>
      <c r="G45" s="40">
        <v>4825000</v>
      </c>
      <c r="H45" s="40">
        <v>2046000</v>
      </c>
      <c r="I45" s="40">
        <v>4712300</v>
      </c>
      <c r="J45" s="40">
        <v>40000</v>
      </c>
      <c r="K45" s="45">
        <v>2798100</v>
      </c>
      <c r="L45" s="46">
        <v>1850000</v>
      </c>
      <c r="M45" s="40">
        <v>2423900</v>
      </c>
      <c r="N45" s="40">
        <v>470000</v>
      </c>
      <c r="O45" s="40">
        <v>4967300</v>
      </c>
      <c r="P45" s="40">
        <v>5520000</v>
      </c>
      <c r="Q45" s="45">
        <f>4000000+4500000</f>
        <v>8500000</v>
      </c>
      <c r="R45" s="46">
        <v>8697000</v>
      </c>
      <c r="S45" s="40">
        <v>7083900</v>
      </c>
      <c r="T45" s="40">
        <v>7017500</v>
      </c>
      <c r="U45" s="45">
        <v>388000</v>
      </c>
      <c r="V45" s="46">
        <v>310000</v>
      </c>
      <c r="W45" s="40">
        <v>14000000</v>
      </c>
      <c r="X45" s="40">
        <v>560000</v>
      </c>
      <c r="Y45" s="40">
        <v>27809000</v>
      </c>
      <c r="Z45" s="40">
        <v>11701974</v>
      </c>
      <c r="AA45" s="45">
        <v>2250000</v>
      </c>
      <c r="AB45" s="109">
        <v>2212000</v>
      </c>
      <c r="AC45" s="40">
        <v>6974400</v>
      </c>
      <c r="AD45" s="40">
        <v>4361500</v>
      </c>
      <c r="AE45" s="45">
        <v>3750000</v>
      </c>
      <c r="AF45" s="46"/>
      <c r="AG45" s="40">
        <v>3674000</v>
      </c>
      <c r="AH45" s="41"/>
      <c r="AI45" s="40">
        <v>13034000</v>
      </c>
      <c r="AJ45" s="40">
        <v>6005000</v>
      </c>
    </row>
    <row r="46" spans="1:36" ht="15">
      <c r="A46" s="64">
        <v>2106</v>
      </c>
      <c r="B46" s="65" t="s">
        <v>33</v>
      </c>
      <c r="C46" s="62">
        <f t="shared" ref="C46:H46" si="64">+SUM(C47:C50)</f>
        <v>6208600</v>
      </c>
      <c r="D46" s="63">
        <f t="shared" si="64"/>
        <v>4070380</v>
      </c>
      <c r="E46" s="63">
        <f t="shared" si="64"/>
        <v>273416500</v>
      </c>
      <c r="F46" s="63">
        <f t="shared" si="64"/>
        <v>393531783</v>
      </c>
      <c r="G46" s="63">
        <f t="shared" si="64"/>
        <v>14437500</v>
      </c>
      <c r="H46" s="63">
        <f t="shared" si="64"/>
        <v>8145350</v>
      </c>
      <c r="I46" s="62">
        <f>+SUM(I47:I50)</f>
        <v>60419100</v>
      </c>
      <c r="J46" s="62">
        <f>+SUM(J47:J50)</f>
        <v>35349200</v>
      </c>
      <c r="K46" s="62">
        <f t="shared" ref="K46:N46" si="65">+SUM(K47:K50)</f>
        <v>35977800</v>
      </c>
      <c r="L46" s="62">
        <f t="shared" si="65"/>
        <v>14486350</v>
      </c>
      <c r="M46" s="62">
        <f t="shared" si="65"/>
        <v>13447500</v>
      </c>
      <c r="N46" s="62">
        <f t="shared" si="65"/>
        <v>6753300</v>
      </c>
      <c r="O46" s="62">
        <f t="shared" ref="O46:V46" si="66">+SUM(O47:O50)</f>
        <v>5040000</v>
      </c>
      <c r="P46" s="62">
        <f t="shared" si="66"/>
        <v>48886629.5</v>
      </c>
      <c r="Q46" s="62">
        <f t="shared" si="66"/>
        <v>22241400</v>
      </c>
      <c r="R46" s="62">
        <f t="shared" si="66"/>
        <v>11303546</v>
      </c>
      <c r="S46" s="62">
        <f t="shared" si="66"/>
        <v>85199600</v>
      </c>
      <c r="T46" s="62">
        <f t="shared" si="66"/>
        <v>51833500</v>
      </c>
      <c r="U46" s="62">
        <f t="shared" si="66"/>
        <v>6103800</v>
      </c>
      <c r="V46" s="62">
        <f t="shared" si="66"/>
        <v>5276500</v>
      </c>
      <c r="W46" s="76">
        <f t="shared" ref="W46:AD46" si="67">+SUM(W47:W50)</f>
        <v>16233300</v>
      </c>
      <c r="X46" s="76">
        <f t="shared" si="67"/>
        <v>16233300</v>
      </c>
      <c r="Y46" s="62">
        <f t="shared" si="67"/>
        <v>2250000</v>
      </c>
      <c r="Z46" s="62">
        <f t="shared" si="67"/>
        <v>1308800</v>
      </c>
      <c r="AA46" s="62">
        <f t="shared" si="67"/>
        <v>12040100</v>
      </c>
      <c r="AB46" s="63">
        <f t="shared" si="67"/>
        <v>14267600</v>
      </c>
      <c r="AC46" s="62">
        <f t="shared" si="67"/>
        <v>37495800</v>
      </c>
      <c r="AD46" s="62">
        <f t="shared" si="67"/>
        <v>16893400</v>
      </c>
      <c r="AE46" s="62">
        <f t="shared" ref="AE46:AJ46" si="68">+SUM(AE47:AE50)</f>
        <v>29165400</v>
      </c>
      <c r="AF46" s="62">
        <f t="shared" si="68"/>
        <v>16873350</v>
      </c>
      <c r="AG46" s="62">
        <f t="shared" si="68"/>
        <v>24093000</v>
      </c>
      <c r="AH46" s="63">
        <f t="shared" si="68"/>
        <v>3942300</v>
      </c>
      <c r="AI46" s="62">
        <f t="shared" si="68"/>
        <v>32300200</v>
      </c>
      <c r="AJ46" s="62">
        <f t="shared" si="68"/>
        <v>21800600</v>
      </c>
    </row>
    <row r="47" spans="1:36">
      <c r="A47" s="39">
        <v>210601</v>
      </c>
      <c r="B47" s="39" t="s">
        <v>34</v>
      </c>
      <c r="C47" s="40"/>
      <c r="D47" s="41"/>
      <c r="E47" s="40">
        <v>9991100</v>
      </c>
      <c r="F47" s="40">
        <v>20421293</v>
      </c>
      <c r="G47" s="40">
        <v>5418800</v>
      </c>
      <c r="H47" s="40">
        <v>2035600</v>
      </c>
      <c r="I47" s="40">
        <v>50891900</v>
      </c>
      <c r="J47" s="40">
        <v>32414900</v>
      </c>
      <c r="K47" s="45">
        <v>10527800</v>
      </c>
      <c r="L47" s="46">
        <v>1320000</v>
      </c>
      <c r="M47" s="40">
        <v>4733300</v>
      </c>
      <c r="N47" s="40">
        <v>750000</v>
      </c>
      <c r="O47" s="40">
        <v>750000</v>
      </c>
      <c r="P47" s="40">
        <v>19347430</v>
      </c>
      <c r="Q47" s="45">
        <f>2533400+6000000</f>
        <v>8533400</v>
      </c>
      <c r="R47" s="46">
        <v>2882900</v>
      </c>
      <c r="S47" s="40">
        <v>44000000</v>
      </c>
      <c r="T47" s="40">
        <v>37211500</v>
      </c>
      <c r="U47" s="45">
        <v>168000</v>
      </c>
      <c r="V47" s="46"/>
      <c r="W47" s="40">
        <v>7800000</v>
      </c>
      <c r="X47" s="40">
        <v>7800000</v>
      </c>
      <c r="Y47" s="40"/>
      <c r="Z47" s="40"/>
      <c r="AA47" s="45">
        <v>8755100</v>
      </c>
      <c r="AB47" s="109">
        <v>8527000</v>
      </c>
      <c r="AC47" s="40">
        <v>19227500</v>
      </c>
      <c r="AD47" s="40">
        <v>6625000</v>
      </c>
      <c r="AE47" s="45">
        <v>13678800</v>
      </c>
      <c r="AF47" s="46">
        <v>5473150</v>
      </c>
      <c r="AG47" s="40">
        <v>680000</v>
      </c>
      <c r="AH47" s="41"/>
      <c r="AI47" s="40">
        <v>14000000</v>
      </c>
      <c r="AJ47" s="40">
        <v>3597500</v>
      </c>
    </row>
    <row r="48" spans="1:36">
      <c r="A48" s="39">
        <v>210602</v>
      </c>
      <c r="B48" s="39" t="s">
        <v>35</v>
      </c>
      <c r="C48" s="40"/>
      <c r="D48" s="41"/>
      <c r="E48" s="40">
        <v>119983000</v>
      </c>
      <c r="F48" s="40">
        <v>129484410</v>
      </c>
      <c r="G48" s="40"/>
      <c r="H48" s="40"/>
      <c r="I48" s="40">
        <v>2000000</v>
      </c>
      <c r="J48" s="40">
        <v>1079600</v>
      </c>
      <c r="K48" s="40"/>
      <c r="L48" s="47"/>
      <c r="M48" s="40"/>
      <c r="N48" s="40"/>
      <c r="O48" s="40">
        <v>750000</v>
      </c>
      <c r="P48" s="40">
        <v>16158400</v>
      </c>
      <c r="Q48" s="40"/>
      <c r="R48" s="47"/>
      <c r="S48" s="40"/>
      <c r="T48" s="40"/>
      <c r="U48" s="40"/>
      <c r="V48" s="47"/>
      <c r="W48" s="40"/>
      <c r="X48" s="40"/>
      <c r="Y48" s="40"/>
      <c r="Z48" s="40"/>
      <c r="AA48" s="40"/>
      <c r="AB48" s="41"/>
      <c r="AC48" s="40">
        <v>272000</v>
      </c>
      <c r="AD48" s="40"/>
      <c r="AE48" s="40"/>
      <c r="AF48" s="47"/>
      <c r="AG48" s="40"/>
      <c r="AH48" s="41"/>
      <c r="AI48" s="40"/>
      <c r="AJ48" s="40">
        <v>1150000</v>
      </c>
    </row>
    <row r="49" spans="1:36">
      <c r="A49" s="39">
        <v>210603</v>
      </c>
      <c r="B49" s="39" t="s">
        <v>36</v>
      </c>
      <c r="C49" s="40">
        <v>2708600</v>
      </c>
      <c r="D49" s="41">
        <v>1740000</v>
      </c>
      <c r="E49" s="40">
        <v>1333400</v>
      </c>
      <c r="F49" s="40"/>
      <c r="G49" s="40">
        <v>2860000</v>
      </c>
      <c r="H49" s="40"/>
      <c r="I49" s="94">
        <v>1303200</v>
      </c>
      <c r="J49" s="40">
        <v>0</v>
      </c>
      <c r="K49" s="45"/>
      <c r="L49" s="46"/>
      <c r="M49" s="40"/>
      <c r="N49" s="40"/>
      <c r="O49" s="40"/>
      <c r="P49" s="40"/>
      <c r="Q49" s="45"/>
      <c r="R49" s="46"/>
      <c r="S49" s="40"/>
      <c r="T49" s="40"/>
      <c r="U49" s="45"/>
      <c r="V49" s="46"/>
      <c r="W49" s="40"/>
      <c r="X49" s="40"/>
      <c r="Y49" s="40"/>
      <c r="Z49" s="40"/>
      <c r="AA49" s="45"/>
      <c r="AB49" s="109"/>
      <c r="AC49" s="40">
        <v>141300</v>
      </c>
      <c r="AD49" s="40"/>
      <c r="AE49" s="40">
        <v>5214100</v>
      </c>
      <c r="AF49" s="46">
        <v>2642000</v>
      </c>
      <c r="AG49" s="40"/>
      <c r="AH49" s="41"/>
      <c r="AI49" s="40">
        <v>2800000</v>
      </c>
      <c r="AJ49" s="40"/>
    </row>
    <row r="50" spans="1:36">
      <c r="A50" s="39">
        <v>210604</v>
      </c>
      <c r="B50" s="39" t="s">
        <v>37</v>
      </c>
      <c r="C50" s="40">
        <v>3500000</v>
      </c>
      <c r="D50" s="41">
        <v>2330380</v>
      </c>
      <c r="E50" s="40">
        <v>142109000</v>
      </c>
      <c r="F50" s="40">
        <v>243626080</v>
      </c>
      <c r="G50" s="40">
        <v>6158700</v>
      </c>
      <c r="H50" s="40">
        <v>6109750</v>
      </c>
      <c r="I50" s="40">
        <f>3424000+2800000</f>
        <v>6224000</v>
      </c>
      <c r="J50" s="40">
        <f>1141900+712800</f>
        <v>1854700</v>
      </c>
      <c r="K50" s="45">
        <f>20600000+4850000</f>
        <v>25450000</v>
      </c>
      <c r="L50" s="46">
        <f>2479900+10686450</f>
        <v>13166350</v>
      </c>
      <c r="M50" s="40">
        <v>8714200</v>
      </c>
      <c r="N50" s="40">
        <v>6003300</v>
      </c>
      <c r="O50" s="40">
        <v>3540000</v>
      </c>
      <c r="P50" s="40">
        <v>13380799.5</v>
      </c>
      <c r="Q50" s="45">
        <f>4415000+6000000+3293000</f>
        <v>13708000</v>
      </c>
      <c r="R50" s="46">
        <f>8420646</f>
        <v>8420646</v>
      </c>
      <c r="S50" s="40">
        <v>41199600</v>
      </c>
      <c r="T50" s="40">
        <v>14622000</v>
      </c>
      <c r="U50" s="45">
        <v>5935800</v>
      </c>
      <c r="V50" s="46">
        <v>5276500</v>
      </c>
      <c r="W50" s="40">
        <v>8433300</v>
      </c>
      <c r="X50" s="40">
        <v>8433300</v>
      </c>
      <c r="Y50" s="40">
        <v>2250000</v>
      </c>
      <c r="Z50" s="40">
        <v>1308800</v>
      </c>
      <c r="AA50" s="45">
        <v>3285000</v>
      </c>
      <c r="AB50" s="109">
        <v>5740600</v>
      </c>
      <c r="AC50" s="40">
        <v>17855000</v>
      </c>
      <c r="AD50" s="40">
        <v>10268400</v>
      </c>
      <c r="AE50" s="45">
        <v>10272500</v>
      </c>
      <c r="AF50" s="46">
        <v>8758200</v>
      </c>
      <c r="AG50" s="40">
        <v>23413000</v>
      </c>
      <c r="AH50" s="41">
        <v>3942300</v>
      </c>
      <c r="AI50" s="40">
        <v>15500200</v>
      </c>
      <c r="AJ50" s="40">
        <v>17053100</v>
      </c>
    </row>
    <row r="51" spans="1:36" ht="15">
      <c r="A51" s="64">
        <v>2107</v>
      </c>
      <c r="B51" s="65" t="s">
        <v>38</v>
      </c>
      <c r="C51" s="62">
        <f>C52</f>
        <v>7359000</v>
      </c>
      <c r="D51" s="63">
        <f>D52</f>
        <v>7072401</v>
      </c>
      <c r="E51" s="63">
        <f t="shared" ref="E51:F51" si="69">E52</f>
        <v>10460200</v>
      </c>
      <c r="F51" s="63">
        <f t="shared" si="69"/>
        <v>17027500</v>
      </c>
      <c r="G51" s="63">
        <f t="shared" ref="G51:H51" si="70">G52</f>
        <v>4395500</v>
      </c>
      <c r="H51" s="63">
        <f t="shared" si="70"/>
        <v>3256000</v>
      </c>
      <c r="I51" s="62">
        <f>I52</f>
        <v>790900</v>
      </c>
      <c r="J51" s="62">
        <f>J52</f>
        <v>476000</v>
      </c>
      <c r="K51" s="62">
        <f>K52</f>
        <v>1996100</v>
      </c>
      <c r="L51" s="62">
        <f>L52</f>
        <v>1730000</v>
      </c>
      <c r="M51" s="62">
        <f t="shared" ref="M51:N51" si="71">M52</f>
        <v>667000</v>
      </c>
      <c r="N51" s="62">
        <f t="shared" si="71"/>
        <v>0</v>
      </c>
      <c r="O51" s="62">
        <f>O52</f>
        <v>188000</v>
      </c>
      <c r="P51" s="62">
        <f>P52</f>
        <v>846600</v>
      </c>
      <c r="Q51" s="62">
        <f>Q52</f>
        <v>1375000</v>
      </c>
      <c r="R51" s="62">
        <f>R52</f>
        <v>800000</v>
      </c>
      <c r="S51" s="62">
        <f t="shared" ref="S51:T51" si="72">S52</f>
        <v>4362700</v>
      </c>
      <c r="T51" s="62">
        <f t="shared" si="72"/>
        <v>3476600</v>
      </c>
      <c r="U51" s="62">
        <f>U52</f>
        <v>1138000</v>
      </c>
      <c r="V51" s="62">
        <f>V52</f>
        <v>0</v>
      </c>
      <c r="W51" s="76">
        <f t="shared" ref="W51:X51" si="73">W52</f>
        <v>600000</v>
      </c>
      <c r="X51" s="76">
        <f t="shared" si="73"/>
        <v>64000</v>
      </c>
      <c r="Y51" s="62">
        <f>Y52</f>
        <v>1676000</v>
      </c>
      <c r="Z51" s="62">
        <f>Z52</f>
        <v>470000</v>
      </c>
      <c r="AA51" s="62">
        <f>AA52</f>
        <v>800000</v>
      </c>
      <c r="AB51" s="63">
        <f>AB52</f>
        <v>458000</v>
      </c>
      <c r="AC51" s="62">
        <f t="shared" ref="AC51:AD51" si="74">AC52</f>
        <v>0</v>
      </c>
      <c r="AD51" s="62">
        <f t="shared" si="74"/>
        <v>0</v>
      </c>
      <c r="AE51" s="62">
        <f>AE52</f>
        <v>1124700</v>
      </c>
      <c r="AF51" s="62">
        <f>AF52</f>
        <v>400666</v>
      </c>
      <c r="AG51" s="62">
        <f t="shared" ref="AG51:AJ51" si="75">AG52</f>
        <v>1123600</v>
      </c>
      <c r="AH51" s="63">
        <f t="shared" si="75"/>
        <v>0</v>
      </c>
      <c r="AI51" s="62">
        <f t="shared" si="75"/>
        <v>2233000</v>
      </c>
      <c r="AJ51" s="62">
        <f t="shared" si="75"/>
        <v>176000</v>
      </c>
    </row>
    <row r="52" spans="1:36">
      <c r="A52" s="39">
        <v>210702</v>
      </c>
      <c r="B52" s="39" t="s">
        <v>39</v>
      </c>
      <c r="C52" s="40">
        <v>7359000</v>
      </c>
      <c r="D52" s="41">
        <v>7072401</v>
      </c>
      <c r="E52" s="40">
        <v>10460200</v>
      </c>
      <c r="F52" s="40">
        <v>17027500</v>
      </c>
      <c r="G52" s="40">
        <v>4395500</v>
      </c>
      <c r="H52" s="40">
        <v>3256000</v>
      </c>
      <c r="I52" s="40">
        <v>790900</v>
      </c>
      <c r="J52" s="40">
        <v>476000</v>
      </c>
      <c r="K52" s="45">
        <v>1996100</v>
      </c>
      <c r="L52" s="46">
        <v>1730000</v>
      </c>
      <c r="M52" s="40">
        <v>667000</v>
      </c>
      <c r="N52" s="40"/>
      <c r="O52" s="40">
        <v>188000</v>
      </c>
      <c r="P52" s="40">
        <v>846600</v>
      </c>
      <c r="Q52" s="45">
        <f>1025000+350000</f>
        <v>1375000</v>
      </c>
      <c r="R52" s="46">
        <f>350000+450000</f>
        <v>800000</v>
      </c>
      <c r="S52" s="40">
        <v>4362700</v>
      </c>
      <c r="T52" s="40">
        <v>3476600</v>
      </c>
      <c r="U52" s="45">
        <v>1138000</v>
      </c>
      <c r="V52" s="46"/>
      <c r="W52" s="40">
        <v>600000</v>
      </c>
      <c r="X52" s="40">
        <v>64000</v>
      </c>
      <c r="Y52" s="40">
        <v>1676000</v>
      </c>
      <c r="Z52" s="40">
        <v>470000</v>
      </c>
      <c r="AA52" s="45">
        <v>800000</v>
      </c>
      <c r="AB52" s="109">
        <v>458000</v>
      </c>
      <c r="AC52" s="40"/>
      <c r="AD52" s="40"/>
      <c r="AE52" s="45">
        <v>1124700</v>
      </c>
      <c r="AF52" s="46">
        <v>400666</v>
      </c>
      <c r="AG52" s="40">
        <v>1123600</v>
      </c>
      <c r="AH52" s="41"/>
      <c r="AI52" s="40">
        <v>2233000</v>
      </c>
      <c r="AJ52" s="40">
        <v>176000</v>
      </c>
    </row>
    <row r="53" spans="1:36" ht="15">
      <c r="A53" s="64">
        <v>2108</v>
      </c>
      <c r="B53" s="65" t="s">
        <v>40</v>
      </c>
      <c r="C53" s="62">
        <f t="shared" ref="C53:H53" si="76">+SUM(C54:C62)</f>
        <v>26425000</v>
      </c>
      <c r="D53" s="63">
        <f t="shared" si="76"/>
        <v>10801118.93</v>
      </c>
      <c r="E53" s="63">
        <f t="shared" si="76"/>
        <v>27920400</v>
      </c>
      <c r="F53" s="63">
        <f t="shared" si="76"/>
        <v>32968872</v>
      </c>
      <c r="G53" s="63">
        <f t="shared" si="76"/>
        <v>5895600</v>
      </c>
      <c r="H53" s="63">
        <f t="shared" si="76"/>
        <v>5238190</v>
      </c>
      <c r="I53" s="62">
        <f t="shared" ref="I53:J53" si="77">+SUM(I54:I62)</f>
        <v>3387700</v>
      </c>
      <c r="J53" s="62">
        <f t="shared" si="77"/>
        <v>1687320</v>
      </c>
      <c r="K53" s="62">
        <f t="shared" ref="K53:N53" si="78">+SUM(K54:K62)</f>
        <v>3490100</v>
      </c>
      <c r="L53" s="62">
        <f t="shared" si="78"/>
        <v>1683825</v>
      </c>
      <c r="M53" s="62">
        <f t="shared" si="78"/>
        <v>3307600</v>
      </c>
      <c r="N53" s="62">
        <f t="shared" si="78"/>
        <v>648800</v>
      </c>
      <c r="O53" s="62">
        <f t="shared" ref="O53:R53" si="79">+SUM(O54:O62)</f>
        <v>1827000</v>
      </c>
      <c r="P53" s="62">
        <f t="shared" si="79"/>
        <v>1576640</v>
      </c>
      <c r="Q53" s="62">
        <f t="shared" si="79"/>
        <v>4949300</v>
      </c>
      <c r="R53" s="62">
        <f t="shared" si="79"/>
        <v>1238553</v>
      </c>
      <c r="S53" s="62">
        <v>333300</v>
      </c>
      <c r="T53" s="62">
        <f t="shared" ref="T53" si="80">+SUM(T54:T62)</f>
        <v>4085692</v>
      </c>
      <c r="U53" s="63">
        <f t="shared" ref="U53:V53" si="81">+SUM(U54:U62)</f>
        <v>4227400</v>
      </c>
      <c r="V53" s="63">
        <f t="shared" si="81"/>
        <v>504450</v>
      </c>
      <c r="W53" s="76">
        <f t="shared" ref="W53:X53" si="82">+SUM(W54:W62)</f>
        <v>3755200</v>
      </c>
      <c r="X53" s="76">
        <f t="shared" si="82"/>
        <v>686560</v>
      </c>
      <c r="Y53" s="62">
        <f>Y54</f>
        <v>337500</v>
      </c>
      <c r="Z53" s="62">
        <f t="shared" ref="Z53:AB53" si="83">+SUM(Z54:Z62)</f>
        <v>103950</v>
      </c>
      <c r="AA53" s="62">
        <f t="shared" si="83"/>
        <v>2190000</v>
      </c>
      <c r="AB53" s="63">
        <f t="shared" si="83"/>
        <v>1287032</v>
      </c>
      <c r="AC53" s="62">
        <f t="shared" ref="AC53:AD53" si="84">+SUM(AC54:AC62)</f>
        <v>13725500</v>
      </c>
      <c r="AD53" s="62">
        <f t="shared" si="84"/>
        <v>3353732</v>
      </c>
      <c r="AE53" s="62">
        <f t="shared" ref="AE53:AJ53" si="85">+SUM(AE54:AE62)</f>
        <v>792200</v>
      </c>
      <c r="AF53" s="62">
        <f t="shared" si="85"/>
        <v>445334</v>
      </c>
      <c r="AG53" s="62">
        <f t="shared" si="85"/>
        <v>3436900</v>
      </c>
      <c r="AH53" s="63">
        <f t="shared" si="85"/>
        <v>168472</v>
      </c>
      <c r="AI53" s="62">
        <f t="shared" si="85"/>
        <v>7810000</v>
      </c>
      <c r="AJ53" s="62">
        <f t="shared" si="85"/>
        <v>3604600</v>
      </c>
    </row>
    <row r="54" spans="1:36">
      <c r="A54" s="38">
        <v>210801</v>
      </c>
      <c r="B54" s="39" t="s">
        <v>67</v>
      </c>
      <c r="C54" s="40">
        <v>20417000</v>
      </c>
      <c r="D54" s="41">
        <v>8530962.9299999997</v>
      </c>
      <c r="E54" s="40">
        <v>2250200</v>
      </c>
      <c r="F54" s="40">
        <v>20322548</v>
      </c>
      <c r="G54" s="40"/>
      <c r="H54" s="40"/>
      <c r="I54" s="40">
        <v>1462500</v>
      </c>
      <c r="J54" s="40">
        <v>1175100</v>
      </c>
      <c r="K54" s="45">
        <v>1316600</v>
      </c>
      <c r="L54" s="46">
        <v>1079100</v>
      </c>
      <c r="M54" s="40">
        <v>2000000</v>
      </c>
      <c r="N54" s="40">
        <v>256300</v>
      </c>
      <c r="O54" s="40">
        <v>300000</v>
      </c>
      <c r="P54" s="40">
        <v>1270560</v>
      </c>
      <c r="Q54" s="45">
        <f>940900+1712000</f>
        <v>2652900</v>
      </c>
      <c r="R54" s="46">
        <v>937400</v>
      </c>
      <c r="S54" s="40">
        <v>2700000</v>
      </c>
      <c r="T54" s="40">
        <v>2680200</v>
      </c>
      <c r="U54" s="45">
        <v>792000</v>
      </c>
      <c r="V54" s="46">
        <v>450000</v>
      </c>
      <c r="W54" s="40">
        <v>0</v>
      </c>
      <c r="X54" s="40"/>
      <c r="Y54" s="40">
        <v>337500</v>
      </c>
      <c r="Z54" s="40"/>
      <c r="AA54" s="45">
        <v>250000</v>
      </c>
      <c r="AB54" s="109">
        <v>202500</v>
      </c>
      <c r="AC54" s="40">
        <v>11325500</v>
      </c>
      <c r="AD54" s="40">
        <v>3000000</v>
      </c>
      <c r="AE54" s="45">
        <v>288200</v>
      </c>
      <c r="AF54" s="46">
        <v>255300</v>
      </c>
      <c r="AG54" s="40">
        <v>416500</v>
      </c>
      <c r="AH54" s="41"/>
      <c r="AI54" s="40">
        <v>5100000</v>
      </c>
      <c r="AJ54" s="40">
        <v>2347100</v>
      </c>
    </row>
    <row r="55" spans="1:36">
      <c r="A55" s="39">
        <v>210802</v>
      </c>
      <c r="B55" s="39" t="s">
        <v>41</v>
      </c>
      <c r="C55" s="40">
        <v>2880000</v>
      </c>
      <c r="D55" s="41"/>
      <c r="E55" s="40">
        <v>2500000</v>
      </c>
      <c r="F55" s="40"/>
      <c r="G55" s="40">
        <v>972000</v>
      </c>
      <c r="H55" s="40">
        <v>700000</v>
      </c>
      <c r="I55" s="40">
        <v>478100</v>
      </c>
      <c r="J55" s="40"/>
      <c r="K55" s="45">
        <v>900000</v>
      </c>
      <c r="L55" s="46"/>
      <c r="M55" s="40">
        <v>520000</v>
      </c>
      <c r="N55" s="40"/>
      <c r="O55" s="40">
        <v>880000</v>
      </c>
      <c r="P55" s="40"/>
      <c r="Q55" s="45">
        <f>300000+600000</f>
        <v>900000</v>
      </c>
      <c r="R55" s="46"/>
      <c r="S55" s="40">
        <v>850000</v>
      </c>
      <c r="T55" s="40">
        <v>850000</v>
      </c>
      <c r="U55" s="45">
        <v>1170000</v>
      </c>
      <c r="V55" s="46"/>
      <c r="W55" s="40">
        <v>540000</v>
      </c>
      <c r="X55" s="40"/>
      <c r="Y55" s="40">
        <v>900000</v>
      </c>
      <c r="Z55" s="40"/>
      <c r="AA55" s="45">
        <v>900000</v>
      </c>
      <c r="AB55" s="109"/>
      <c r="AC55" s="40">
        <v>1000000</v>
      </c>
      <c r="AD55" s="40"/>
      <c r="AE55" s="45"/>
      <c r="AF55" s="46"/>
      <c r="AG55" s="40">
        <v>757200</v>
      </c>
      <c r="AH55" s="41"/>
      <c r="AI55" s="91">
        <v>800000</v>
      </c>
      <c r="AJ55" s="40"/>
    </row>
    <row r="56" spans="1:36">
      <c r="A56" s="39">
        <v>210803</v>
      </c>
      <c r="B56" s="39" t="s">
        <v>42</v>
      </c>
      <c r="C56" s="40">
        <v>600000</v>
      </c>
      <c r="D56" s="41">
        <v>600000</v>
      </c>
      <c r="E56" s="40">
        <v>6500000</v>
      </c>
      <c r="F56" s="40">
        <v>155025</v>
      </c>
      <c r="G56" s="40">
        <v>2069600</v>
      </c>
      <c r="H56" s="40">
        <v>2069600</v>
      </c>
      <c r="I56" s="40">
        <v>208300</v>
      </c>
      <c r="J56" s="40">
        <v>108900</v>
      </c>
      <c r="K56" s="45">
        <v>400000</v>
      </c>
      <c r="L56" s="46">
        <v>200925</v>
      </c>
      <c r="M56" s="40">
        <v>200000</v>
      </c>
      <c r="N56" s="40"/>
      <c r="O56" s="40">
        <v>300000</v>
      </c>
      <c r="P56" s="40"/>
      <c r="Q56" s="45">
        <f>200400+400000</f>
        <v>600400</v>
      </c>
      <c r="R56" s="46">
        <v>225225</v>
      </c>
      <c r="S56" s="40">
        <v>248000</v>
      </c>
      <c r="T56" s="40">
        <v>158400</v>
      </c>
      <c r="U56" s="45">
        <v>242000</v>
      </c>
      <c r="V56" s="46">
        <v>54450</v>
      </c>
      <c r="W56" s="40">
        <v>200000</v>
      </c>
      <c r="X56" s="40"/>
      <c r="Y56" s="40">
        <v>400000</v>
      </c>
      <c r="Z56" s="40">
        <v>103950</v>
      </c>
      <c r="AA56" s="45">
        <v>300000</v>
      </c>
      <c r="AB56" s="109"/>
      <c r="AC56" s="40">
        <v>500000</v>
      </c>
      <c r="AD56" s="40"/>
      <c r="AE56" s="45">
        <v>33000</v>
      </c>
      <c r="AF56" s="46"/>
      <c r="AG56" s="40">
        <v>423200</v>
      </c>
      <c r="AH56" s="41"/>
      <c r="AI56" s="91">
        <v>478000</v>
      </c>
      <c r="AJ56" s="40"/>
    </row>
    <row r="57" spans="1:36">
      <c r="A57" s="39">
        <v>210804</v>
      </c>
      <c r="B57" s="39" t="s">
        <v>43</v>
      </c>
      <c r="C57" s="40">
        <v>700000</v>
      </c>
      <c r="D57" s="41">
        <v>110006</v>
      </c>
      <c r="E57" s="40">
        <v>3500000</v>
      </c>
      <c r="F57" s="40">
        <v>289699</v>
      </c>
      <c r="G57" s="40">
        <v>373100</v>
      </c>
      <c r="H57" s="40">
        <v>254740</v>
      </c>
      <c r="I57" s="40">
        <v>125000</v>
      </c>
      <c r="J57" s="40">
        <v>109400</v>
      </c>
      <c r="K57" s="45">
        <v>100000</v>
      </c>
      <c r="L57" s="46"/>
      <c r="M57" s="40">
        <v>150000</v>
      </c>
      <c r="N57" s="40">
        <v>62500</v>
      </c>
      <c r="O57" s="40">
        <v>237000</v>
      </c>
      <c r="P57" s="40">
        <v>196080</v>
      </c>
      <c r="Q57" s="45">
        <f>40000+39600</f>
        <v>79600</v>
      </c>
      <c r="R57" s="46">
        <v>31928</v>
      </c>
      <c r="S57" s="40">
        <v>271000</v>
      </c>
      <c r="T57" s="40">
        <v>228720</v>
      </c>
      <c r="U57" s="45">
        <v>40000</v>
      </c>
      <c r="V57" s="46"/>
      <c r="W57" s="40">
        <v>240000</v>
      </c>
      <c r="X57" s="40">
        <v>143160</v>
      </c>
      <c r="Y57" s="40">
        <v>40000</v>
      </c>
      <c r="Z57" s="40"/>
      <c r="AA57" s="45">
        <v>90000</v>
      </c>
      <c r="AB57" s="109">
        <v>85535</v>
      </c>
      <c r="AC57" s="40">
        <v>650000</v>
      </c>
      <c r="AD57" s="40">
        <v>232732</v>
      </c>
      <c r="AE57" s="45">
        <v>150000</v>
      </c>
      <c r="AF57" s="46"/>
      <c r="AG57" s="40">
        <v>630000</v>
      </c>
      <c r="AH57" s="41"/>
      <c r="AI57" s="91">
        <v>400000</v>
      </c>
      <c r="AJ57" s="40">
        <v>322028</v>
      </c>
    </row>
    <row r="58" spans="1:36">
      <c r="A58" s="39">
        <v>210805</v>
      </c>
      <c r="B58" s="39" t="s">
        <v>44</v>
      </c>
      <c r="C58" s="40">
        <v>88000</v>
      </c>
      <c r="D58" s="41"/>
      <c r="E58" s="40">
        <v>500000</v>
      </c>
      <c r="F58" s="40">
        <v>33000</v>
      </c>
      <c r="G58" s="40"/>
      <c r="H58" s="40">
        <v>55000</v>
      </c>
      <c r="I58" s="40">
        <v>85000</v>
      </c>
      <c r="J58" s="40"/>
      <c r="K58" s="45">
        <v>133500</v>
      </c>
      <c r="L58" s="46"/>
      <c r="M58" s="40">
        <v>60000</v>
      </c>
      <c r="N58" s="40"/>
      <c r="O58" s="40">
        <v>110000</v>
      </c>
      <c r="P58" s="40">
        <v>110000</v>
      </c>
      <c r="Q58" s="45">
        <f>80400+200000</f>
        <v>280400</v>
      </c>
      <c r="R58" s="46">
        <v>44000</v>
      </c>
      <c r="S58" s="40">
        <v>50000</v>
      </c>
      <c r="T58" s="40">
        <v>22000</v>
      </c>
      <c r="U58" s="45">
        <v>183400</v>
      </c>
      <c r="V58" s="46"/>
      <c r="W58" s="40">
        <v>2050000</v>
      </c>
      <c r="X58" s="40">
        <v>22000</v>
      </c>
      <c r="Y58" s="40">
        <v>200000</v>
      </c>
      <c r="Z58" s="40"/>
      <c r="AA58" s="45">
        <v>50000</v>
      </c>
      <c r="AB58" s="109">
        <v>33000</v>
      </c>
      <c r="AC58" s="40">
        <v>250000</v>
      </c>
      <c r="AD58" s="40">
        <v>121000</v>
      </c>
      <c r="AE58" s="45">
        <v>50000</v>
      </c>
      <c r="AF58" s="46"/>
      <c r="AG58" s="40">
        <v>60000</v>
      </c>
      <c r="AH58" s="41">
        <v>55000</v>
      </c>
      <c r="AI58" s="91">
        <v>132000</v>
      </c>
      <c r="AJ58" s="40">
        <v>132000</v>
      </c>
    </row>
    <row r="59" spans="1:36">
      <c r="A59" s="39">
        <v>210806</v>
      </c>
      <c r="B59" s="39" t="s">
        <v>45</v>
      </c>
      <c r="C59" s="40"/>
      <c r="D59" s="41"/>
      <c r="E59" s="40"/>
      <c r="F59" s="40"/>
      <c r="G59" s="40">
        <v>2267000</v>
      </c>
      <c r="H59" s="40">
        <v>1950000</v>
      </c>
      <c r="I59" s="40">
        <v>800000</v>
      </c>
      <c r="J59" s="40">
        <v>139200</v>
      </c>
      <c r="K59" s="78">
        <v>640000</v>
      </c>
      <c r="L59" s="47">
        <v>403800</v>
      </c>
      <c r="M59" s="40">
        <v>330000</v>
      </c>
      <c r="N59" s="40">
        <v>330000</v>
      </c>
      <c r="O59" s="40"/>
      <c r="P59" s="40"/>
      <c r="Q59" s="40"/>
      <c r="R59" s="47"/>
      <c r="S59" s="40"/>
      <c r="T59" s="40"/>
      <c r="U59" s="40"/>
      <c r="V59" s="47"/>
      <c r="W59" s="40">
        <v>695200</v>
      </c>
      <c r="X59" s="40">
        <v>521400</v>
      </c>
      <c r="Y59" s="40"/>
      <c r="Z59" s="40"/>
      <c r="AA59" s="40">
        <v>600000</v>
      </c>
      <c r="AB59" s="41">
        <v>965997</v>
      </c>
      <c r="AC59" s="40"/>
      <c r="AD59" s="40"/>
      <c r="AE59" s="40">
        <v>200000</v>
      </c>
      <c r="AF59" s="47">
        <v>190034</v>
      </c>
      <c r="AG59" s="40"/>
      <c r="AH59" s="41"/>
      <c r="AI59" s="40"/>
      <c r="AJ59" s="40"/>
    </row>
    <row r="60" spans="1:36">
      <c r="A60" s="39">
        <v>210807</v>
      </c>
      <c r="B60" s="39" t="s">
        <v>46</v>
      </c>
      <c r="C60" s="40">
        <v>1740000</v>
      </c>
      <c r="D60" s="41">
        <v>1560150</v>
      </c>
      <c r="E60" s="40"/>
      <c r="F60" s="40"/>
      <c r="G60" s="40">
        <v>98100</v>
      </c>
      <c r="H60" s="40">
        <v>98050</v>
      </c>
      <c r="I60" s="40">
        <v>228800</v>
      </c>
      <c r="J60" s="40">
        <v>154720</v>
      </c>
      <c r="K60" s="40"/>
      <c r="L60" s="47"/>
      <c r="M60" s="40">
        <v>47600</v>
      </c>
      <c r="N60" s="40"/>
      <c r="O60" s="40"/>
      <c r="P60" s="40"/>
      <c r="Q60" s="40">
        <v>36000</v>
      </c>
      <c r="R60" s="47"/>
      <c r="S60" s="40">
        <v>200000</v>
      </c>
      <c r="T60" s="40">
        <v>146372</v>
      </c>
      <c r="U60" s="40">
        <v>300000</v>
      </c>
      <c r="V60" s="47"/>
      <c r="W60" s="40">
        <v>30000</v>
      </c>
      <c r="X60" s="40"/>
      <c r="Y60" s="40"/>
      <c r="Z60" s="40"/>
      <c r="AA60" s="40"/>
      <c r="AB60" s="41"/>
      <c r="AC60" s="40"/>
      <c r="AD60" s="40"/>
      <c r="AE60" s="40">
        <v>71000</v>
      </c>
      <c r="AF60" s="47"/>
      <c r="AG60" s="40">
        <v>150000</v>
      </c>
      <c r="AH60" s="41">
        <v>113472</v>
      </c>
      <c r="AI60" s="40">
        <v>900000</v>
      </c>
      <c r="AJ60" s="40">
        <v>803472</v>
      </c>
    </row>
    <row r="61" spans="1:36">
      <c r="A61" s="39">
        <v>210808</v>
      </c>
      <c r="B61" s="39" t="s">
        <v>47</v>
      </c>
      <c r="C61" s="40"/>
      <c r="D61" s="41"/>
      <c r="E61" s="40">
        <v>500000</v>
      </c>
      <c r="F61" s="40"/>
      <c r="G61" s="40"/>
      <c r="H61" s="40"/>
      <c r="I61" s="40"/>
      <c r="J61" s="40"/>
      <c r="K61" s="45"/>
      <c r="L61" s="46"/>
      <c r="M61" s="40"/>
      <c r="N61" s="40"/>
      <c r="O61" s="40"/>
      <c r="P61" s="40"/>
      <c r="Q61" s="45"/>
      <c r="R61" s="46"/>
      <c r="S61" s="40"/>
      <c r="T61" s="40"/>
      <c r="U61" s="45"/>
      <c r="V61" s="46"/>
      <c r="W61" s="40"/>
      <c r="X61" s="40"/>
      <c r="Y61" s="40"/>
      <c r="Z61" s="40"/>
      <c r="AA61" s="45"/>
      <c r="AB61" s="109"/>
      <c r="AC61" s="40"/>
      <c r="AD61" s="40"/>
      <c r="AE61" s="45"/>
      <c r="AF61" s="46"/>
      <c r="AG61" s="40"/>
      <c r="AH61" s="41"/>
      <c r="AI61" s="40"/>
      <c r="AJ61" s="40"/>
    </row>
    <row r="62" spans="1:36">
      <c r="A62" s="39">
        <v>210809</v>
      </c>
      <c r="B62" s="39" t="s">
        <v>48</v>
      </c>
      <c r="C62" s="40"/>
      <c r="D62" s="41"/>
      <c r="E62" s="40">
        <v>12170200</v>
      </c>
      <c r="F62" s="40">
        <v>12168600</v>
      </c>
      <c r="G62" s="40">
        <v>115800</v>
      </c>
      <c r="H62" s="40">
        <v>110800</v>
      </c>
      <c r="I62" s="40"/>
      <c r="J62" s="40"/>
      <c r="K62" s="45"/>
      <c r="L62" s="46"/>
      <c r="M62" s="40"/>
      <c r="N62" s="40"/>
      <c r="O62" s="40"/>
      <c r="P62" s="40"/>
      <c r="Q62" s="45">
        <v>400000</v>
      </c>
      <c r="R62" s="46"/>
      <c r="S62" s="40"/>
      <c r="T62" s="40"/>
      <c r="U62" s="45">
        <v>1500000</v>
      </c>
      <c r="V62" s="46"/>
      <c r="W62" s="40"/>
      <c r="X62" s="40"/>
      <c r="Y62" s="40"/>
      <c r="Z62" s="40"/>
      <c r="AA62" s="45"/>
      <c r="AB62" s="109"/>
      <c r="AC62" s="40"/>
      <c r="AD62" s="40"/>
      <c r="AE62" s="45"/>
      <c r="AF62" s="46"/>
      <c r="AG62" s="40">
        <v>1000000</v>
      </c>
      <c r="AH62" s="41"/>
      <c r="AI62" s="40"/>
      <c r="AJ62" s="40"/>
    </row>
    <row r="63" spans="1:36" ht="15">
      <c r="A63" s="65">
        <v>2109</v>
      </c>
      <c r="B63" s="65" t="s">
        <v>50</v>
      </c>
      <c r="C63" s="62">
        <f>+C64+C65</f>
        <v>16082500</v>
      </c>
      <c r="D63" s="63">
        <f>+D64+D65+D66</f>
        <v>7761700</v>
      </c>
      <c r="E63" s="62">
        <f t="shared" ref="E63" si="86">+E64+E65</f>
        <v>0</v>
      </c>
      <c r="F63" s="62">
        <f>F65+F66</f>
        <v>8897756</v>
      </c>
      <c r="G63" s="63">
        <f t="shared" ref="G63:H63" si="87">+G64+G65+G66</f>
        <v>833000</v>
      </c>
      <c r="H63" s="63">
        <f t="shared" si="87"/>
        <v>469800</v>
      </c>
      <c r="I63" s="62">
        <f>+I64+I65</f>
        <v>3113200</v>
      </c>
      <c r="J63" s="62">
        <f>+J64+J65+J66</f>
        <v>237100</v>
      </c>
      <c r="K63" s="62">
        <f>+K64+K65</f>
        <v>3484500</v>
      </c>
      <c r="L63" s="62">
        <f>+L64+L65</f>
        <v>2432000</v>
      </c>
      <c r="M63" s="62">
        <f>+M64+M65</f>
        <v>4017400</v>
      </c>
      <c r="N63" s="62">
        <f>+N64+N65+N66</f>
        <v>324400</v>
      </c>
      <c r="O63" s="62">
        <f>+O64+O65</f>
        <v>4607000</v>
      </c>
      <c r="P63" s="62">
        <f>+P64+P65+P66</f>
        <v>2763150</v>
      </c>
      <c r="Q63" s="62">
        <f>+Q64+Q65</f>
        <v>3231300</v>
      </c>
      <c r="R63" s="62">
        <f>+R64+R65</f>
        <v>3061251</v>
      </c>
      <c r="S63" s="62">
        <f>+S64+S65</f>
        <v>19046900</v>
      </c>
      <c r="T63" s="62">
        <f>+T64+T65+T66</f>
        <v>6495551</v>
      </c>
      <c r="U63" s="62">
        <f>+U64+U65</f>
        <v>6395000</v>
      </c>
      <c r="V63" s="62">
        <f>+V64+V65</f>
        <v>4677700</v>
      </c>
      <c r="W63" s="62">
        <f t="shared" ref="W63:X63" si="88">+W64+W65</f>
        <v>6624400</v>
      </c>
      <c r="X63" s="62">
        <f t="shared" si="88"/>
        <v>2407300</v>
      </c>
      <c r="Y63" s="62">
        <f>+Y64+Y65</f>
        <v>4150200</v>
      </c>
      <c r="Z63" s="62">
        <f>+Z64+Z65+Z66</f>
        <v>1341000</v>
      </c>
      <c r="AA63" s="62">
        <f>+AA64+AA65</f>
        <v>3074800</v>
      </c>
      <c r="AB63" s="63">
        <f>+AB64+AB65</f>
        <v>5436380</v>
      </c>
      <c r="AC63" s="62">
        <f>+AC64+AC65</f>
        <v>24852400</v>
      </c>
      <c r="AD63" s="62">
        <f>+AD64+AD65+AD66</f>
        <v>12568400</v>
      </c>
      <c r="AE63" s="62">
        <f>+AE64+AE65</f>
        <v>3200000</v>
      </c>
      <c r="AF63" s="62">
        <f>+AF64+AF65</f>
        <v>2872300</v>
      </c>
      <c r="AG63" s="62">
        <f>+AG64+AG65</f>
        <v>9939200</v>
      </c>
      <c r="AH63" s="63">
        <f>+AH64+AH65+AH66</f>
        <v>3400070</v>
      </c>
      <c r="AI63" s="62">
        <f>+AI64+AI65</f>
        <v>25091400</v>
      </c>
      <c r="AJ63" s="62">
        <f>+AJ64+AJ65+AJ66</f>
        <v>13713230</v>
      </c>
    </row>
    <row r="64" spans="1:36">
      <c r="A64" s="39">
        <v>210901</v>
      </c>
      <c r="B64" s="39" t="s">
        <v>50</v>
      </c>
      <c r="C64" s="40">
        <v>13981000</v>
      </c>
      <c r="D64" s="41">
        <v>7691700</v>
      </c>
      <c r="E64" s="40"/>
      <c r="F64" s="40"/>
      <c r="G64" s="40"/>
      <c r="H64" s="40"/>
      <c r="I64" s="40">
        <v>3113200</v>
      </c>
      <c r="J64" s="40">
        <v>237100</v>
      </c>
      <c r="K64" s="40">
        <v>3484500</v>
      </c>
      <c r="L64" s="40">
        <v>2432000</v>
      </c>
      <c r="M64" s="40">
        <v>4017400</v>
      </c>
      <c r="N64" s="40">
        <v>324400</v>
      </c>
      <c r="O64" s="40">
        <v>4607000</v>
      </c>
      <c r="P64" s="40">
        <v>2763150</v>
      </c>
      <c r="Q64" s="40">
        <f>2016300+1215000</f>
        <v>3231300</v>
      </c>
      <c r="R64" s="40">
        <v>3061251</v>
      </c>
      <c r="S64" s="40">
        <v>19046900</v>
      </c>
      <c r="T64" s="40">
        <v>5464140</v>
      </c>
      <c r="U64" s="40">
        <v>6395000</v>
      </c>
      <c r="V64" s="40">
        <v>4677700</v>
      </c>
      <c r="W64" s="40">
        <v>6624400</v>
      </c>
      <c r="X64" s="40">
        <v>2407300</v>
      </c>
      <c r="Y64" s="40">
        <v>4150200</v>
      </c>
      <c r="Z64" s="40">
        <v>1341000</v>
      </c>
      <c r="AA64" s="40">
        <v>3074800</v>
      </c>
      <c r="AB64" s="41">
        <v>5436380</v>
      </c>
      <c r="AC64" s="40">
        <v>24852400</v>
      </c>
      <c r="AD64" s="40">
        <v>12568400</v>
      </c>
      <c r="AE64" s="40">
        <v>3200000</v>
      </c>
      <c r="AF64" s="40">
        <v>2872300</v>
      </c>
      <c r="AG64" s="40">
        <v>9939200</v>
      </c>
      <c r="AH64" s="41">
        <v>3400070</v>
      </c>
      <c r="AI64" s="40">
        <v>25091400</v>
      </c>
      <c r="AJ64" s="40">
        <v>13713230</v>
      </c>
    </row>
    <row r="65" spans="1:36">
      <c r="A65" s="39">
        <v>210902</v>
      </c>
      <c r="B65" s="39" t="s">
        <v>49</v>
      </c>
      <c r="C65" s="40">
        <v>2101500</v>
      </c>
      <c r="D65" s="41">
        <v>70000</v>
      </c>
      <c r="E65" s="40"/>
      <c r="F65" s="40">
        <v>1787500</v>
      </c>
      <c r="G65" s="40">
        <v>833000</v>
      </c>
      <c r="H65" s="40">
        <v>469800</v>
      </c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1"/>
      <c r="AC65" s="40"/>
      <c r="AD65" s="40"/>
      <c r="AE65" s="40"/>
      <c r="AF65" s="40"/>
      <c r="AG65" s="40"/>
      <c r="AH65" s="41"/>
      <c r="AI65" s="40"/>
      <c r="AJ65" s="40"/>
    </row>
    <row r="66" spans="1:36">
      <c r="A66" s="39">
        <v>300015</v>
      </c>
      <c r="B66" s="39" t="s">
        <v>105</v>
      </c>
      <c r="C66" s="40"/>
      <c r="D66" s="41"/>
      <c r="E66" s="40"/>
      <c r="F66" s="40">
        <v>7110256</v>
      </c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>
        <v>2449955.6</v>
      </c>
      <c r="T66" s="40">
        <v>1031411</v>
      </c>
      <c r="U66" s="40"/>
      <c r="V66" s="40"/>
      <c r="W66" s="40"/>
      <c r="X66" s="40"/>
      <c r="Y66" s="40"/>
      <c r="Z66" s="40"/>
      <c r="AA66" s="40"/>
      <c r="AB66" s="41"/>
      <c r="AC66" s="40"/>
      <c r="AD66" s="40"/>
      <c r="AE66" s="40"/>
      <c r="AF66" s="40"/>
      <c r="AG66" s="40"/>
      <c r="AH66" s="41">
        <v>0</v>
      </c>
      <c r="AI66" s="40"/>
      <c r="AJ66" s="40"/>
    </row>
    <row r="67" spans="1:36" ht="15">
      <c r="A67" s="65">
        <v>2132</v>
      </c>
      <c r="B67" s="65" t="s">
        <v>51</v>
      </c>
      <c r="C67" s="62">
        <f t="shared" ref="C67" si="89">+C68+C69+C70</f>
        <v>246763500</v>
      </c>
      <c r="D67" s="63">
        <f>+D68+D69+D70</f>
        <v>869158814</v>
      </c>
      <c r="E67" s="63">
        <f t="shared" ref="E67:F67" si="90">+E68+E69+E70</f>
        <v>4836800</v>
      </c>
      <c r="F67" s="63">
        <f t="shared" si="90"/>
        <v>14994697.199999999</v>
      </c>
      <c r="G67" s="63">
        <f t="shared" ref="G67:I67" si="91">+G68+G69+G70</f>
        <v>0</v>
      </c>
      <c r="H67" s="63">
        <f t="shared" si="91"/>
        <v>0</v>
      </c>
      <c r="I67" s="62">
        <f t="shared" si="91"/>
        <v>6824500</v>
      </c>
      <c r="J67" s="62">
        <f>+J68+J69+J70</f>
        <v>4267771</v>
      </c>
      <c r="K67" s="62">
        <f t="shared" ref="K67:N67" si="92">+K68+K69+K70</f>
        <v>2553600</v>
      </c>
      <c r="L67" s="62">
        <f t="shared" si="92"/>
        <v>2553550</v>
      </c>
      <c r="M67" s="62">
        <f t="shared" si="92"/>
        <v>3600000</v>
      </c>
      <c r="N67" s="62">
        <f t="shared" si="92"/>
        <v>3549500</v>
      </c>
      <c r="O67" s="62">
        <f t="shared" ref="O67" si="93">+O68+O69+O70</f>
        <v>0</v>
      </c>
      <c r="P67" s="62">
        <f>+P68+P69+P70</f>
        <v>4281783</v>
      </c>
      <c r="Q67" s="62">
        <f t="shared" ref="Q67:V67" si="94">+Q68+Q69+Q70</f>
        <v>3240000</v>
      </c>
      <c r="R67" s="62">
        <f t="shared" si="94"/>
        <v>3212196</v>
      </c>
      <c r="S67" s="62">
        <f t="shared" si="94"/>
        <v>24868100</v>
      </c>
      <c r="T67" s="62">
        <f t="shared" si="94"/>
        <v>9333442</v>
      </c>
      <c r="U67" s="62">
        <f t="shared" si="94"/>
        <v>3060000</v>
      </c>
      <c r="V67" s="62">
        <f t="shared" si="94"/>
        <v>2540637</v>
      </c>
      <c r="W67" s="76">
        <f t="shared" ref="W67:Y67" si="95">+W68+W69+W70</f>
        <v>0</v>
      </c>
      <c r="X67" s="76">
        <f t="shared" si="95"/>
        <v>0</v>
      </c>
      <c r="Y67" s="62">
        <f t="shared" si="95"/>
        <v>0</v>
      </c>
      <c r="Z67" s="62">
        <f>+Z68+Z69+Z70</f>
        <v>0</v>
      </c>
      <c r="AA67" s="62">
        <f t="shared" ref="AA67:AB67" si="96">+AA68+AA69+AA70</f>
        <v>0</v>
      </c>
      <c r="AB67" s="63">
        <f t="shared" si="96"/>
        <v>2676285</v>
      </c>
      <c r="AC67" s="62">
        <f t="shared" ref="AC67:AD67" si="97">+AC68+AC69+AC70</f>
        <v>6841500</v>
      </c>
      <c r="AD67" s="62">
        <f t="shared" si="97"/>
        <v>6789938</v>
      </c>
      <c r="AE67" s="62">
        <f t="shared" ref="AE67:AJ67" si="98">+AE68+AE69+AE70</f>
        <v>0</v>
      </c>
      <c r="AF67" s="62">
        <f t="shared" si="98"/>
        <v>2697805</v>
      </c>
      <c r="AG67" s="62">
        <f t="shared" si="98"/>
        <v>3334500</v>
      </c>
      <c r="AH67" s="63">
        <f t="shared" si="98"/>
        <v>8889088.0800000001</v>
      </c>
      <c r="AI67" s="62">
        <f t="shared" si="98"/>
        <v>38533000</v>
      </c>
      <c r="AJ67" s="62">
        <f t="shared" si="98"/>
        <v>38533000</v>
      </c>
    </row>
    <row r="68" spans="1:36">
      <c r="A68" s="39">
        <v>213207</v>
      </c>
      <c r="B68" s="39" t="s">
        <v>52</v>
      </c>
      <c r="C68" s="40"/>
      <c r="D68" s="41">
        <v>237370796</v>
      </c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1"/>
      <c r="AC68" s="40"/>
      <c r="AD68" s="40"/>
      <c r="AE68" s="40"/>
      <c r="AF68" s="40"/>
      <c r="AG68" s="40"/>
      <c r="AH68" s="40"/>
      <c r="AI68" s="40"/>
      <c r="AJ68" s="40"/>
    </row>
    <row r="69" spans="1:36">
      <c r="A69" s="39">
        <v>213208</v>
      </c>
      <c r="B69" s="39" t="s">
        <v>53</v>
      </c>
      <c r="C69" s="40">
        <v>246763500</v>
      </c>
      <c r="D69" s="41">
        <v>631788018</v>
      </c>
      <c r="E69" s="40">
        <v>4836800</v>
      </c>
      <c r="F69" s="40">
        <v>14994697.199999999</v>
      </c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1"/>
      <c r="AC69" s="40"/>
      <c r="AD69" s="40"/>
      <c r="AE69" s="40"/>
      <c r="AF69" s="40"/>
      <c r="AG69" s="40"/>
      <c r="AH69" s="40">
        <v>5887997.0800000001</v>
      </c>
      <c r="AI69" s="40"/>
      <c r="AJ69" s="40"/>
    </row>
    <row r="70" spans="1:36">
      <c r="A70" s="39">
        <v>213209</v>
      </c>
      <c r="B70" s="39" t="s">
        <v>54</v>
      </c>
      <c r="C70" s="40"/>
      <c r="D70" s="41"/>
      <c r="E70" s="40"/>
      <c r="F70" s="40"/>
      <c r="G70" s="40"/>
      <c r="H70" s="40"/>
      <c r="I70" s="40">
        <v>6824500</v>
      </c>
      <c r="J70" s="40">
        <v>4267771</v>
      </c>
      <c r="K70" s="45">
        <v>2553600</v>
      </c>
      <c r="L70" s="46">
        <v>2553550</v>
      </c>
      <c r="M70" s="40">
        <v>3600000</v>
      </c>
      <c r="N70" s="40">
        <v>3549500</v>
      </c>
      <c r="O70" s="40"/>
      <c r="P70" s="40">
        <v>4281783</v>
      </c>
      <c r="Q70" s="45">
        <v>3240000</v>
      </c>
      <c r="R70" s="46">
        <v>3212196</v>
      </c>
      <c r="S70" s="40">
        <v>24868100</v>
      </c>
      <c r="T70" s="40">
        <v>9333442</v>
      </c>
      <c r="U70" s="45">
        <v>3060000</v>
      </c>
      <c r="V70" s="46">
        <v>2540637</v>
      </c>
      <c r="W70" s="40"/>
      <c r="X70" s="40"/>
      <c r="Y70" s="40"/>
      <c r="Z70" s="40"/>
      <c r="AA70" s="45"/>
      <c r="AB70" s="109">
        <v>2676285</v>
      </c>
      <c r="AC70" s="40">
        <v>6841500</v>
      </c>
      <c r="AD70" s="40">
        <v>6789938</v>
      </c>
      <c r="AE70" s="45"/>
      <c r="AF70" s="46">
        <v>2697805</v>
      </c>
      <c r="AG70" s="40">
        <v>3334500</v>
      </c>
      <c r="AH70" s="40">
        <v>3001091</v>
      </c>
      <c r="AI70" s="40">
        <v>38533000</v>
      </c>
      <c r="AJ70" s="40">
        <v>38533000</v>
      </c>
    </row>
    <row r="71" spans="1:36" ht="15">
      <c r="A71" s="65"/>
      <c r="B71" s="65" t="s">
        <v>55</v>
      </c>
      <c r="C71" s="66">
        <f t="shared" ref="C71:D71" si="99">+SUM(C72:C74)</f>
        <v>31</v>
      </c>
      <c r="D71" s="66">
        <f t="shared" si="99"/>
        <v>31</v>
      </c>
      <c r="E71" s="66">
        <f>E72+E73+E74</f>
        <v>267</v>
      </c>
      <c r="F71" s="66">
        <f t="shared" ref="F71" si="100">+SUM(F72:F74)</f>
        <v>256</v>
      </c>
      <c r="G71" s="66">
        <f t="shared" ref="G71:H71" si="101">+SUM(G72:G74)</f>
        <v>13</v>
      </c>
      <c r="H71" s="66">
        <f t="shared" si="101"/>
        <v>13</v>
      </c>
      <c r="I71" s="66">
        <f t="shared" ref="I71:J71" si="102">+SUM(I72:I74)</f>
        <v>22</v>
      </c>
      <c r="J71" s="66">
        <f t="shared" si="102"/>
        <v>16</v>
      </c>
      <c r="K71" s="66">
        <f t="shared" ref="K71:N71" si="103">+SUM(K72:K74)</f>
        <v>1</v>
      </c>
      <c r="L71" s="66">
        <f t="shared" si="103"/>
        <v>1</v>
      </c>
      <c r="M71" s="66">
        <f t="shared" si="103"/>
        <v>22</v>
      </c>
      <c r="N71" s="66">
        <f t="shared" si="103"/>
        <v>21</v>
      </c>
      <c r="O71" s="66">
        <f t="shared" ref="O71:R71" si="104">+SUM(O72:O74)</f>
        <v>29</v>
      </c>
      <c r="P71" s="66">
        <f t="shared" si="104"/>
        <v>27</v>
      </c>
      <c r="Q71" s="66">
        <f t="shared" si="104"/>
        <v>18</v>
      </c>
      <c r="R71" s="66">
        <f t="shared" si="104"/>
        <v>18</v>
      </c>
      <c r="S71" s="66">
        <v>36</v>
      </c>
      <c r="T71" s="66">
        <f t="shared" ref="T71" si="105">+SUM(T72:T74)</f>
        <v>36</v>
      </c>
      <c r="U71" s="66">
        <f t="shared" ref="U71:V71" si="106">+SUM(U72:U74)</f>
        <v>17</v>
      </c>
      <c r="V71" s="66">
        <f t="shared" si="106"/>
        <v>17</v>
      </c>
      <c r="W71" s="66">
        <f t="shared" ref="W71:AB71" si="107">+SUM(W72:W74)</f>
        <v>23</v>
      </c>
      <c r="X71" s="66">
        <f t="shared" si="107"/>
        <v>21</v>
      </c>
      <c r="Y71" s="66">
        <f t="shared" si="107"/>
        <v>21</v>
      </c>
      <c r="Z71" s="66">
        <f t="shared" si="107"/>
        <v>17</v>
      </c>
      <c r="AA71" s="66">
        <f t="shared" si="107"/>
        <v>20</v>
      </c>
      <c r="AB71" s="66">
        <f t="shared" si="107"/>
        <v>18</v>
      </c>
      <c r="AC71" s="66">
        <f t="shared" ref="AC71:AD71" si="108">+SUM(AC72:AC74)</f>
        <v>46</v>
      </c>
      <c r="AD71" s="66">
        <f t="shared" si="108"/>
        <v>46</v>
      </c>
      <c r="AE71" s="66">
        <f t="shared" ref="AE71:AF71" si="109">+SUM(AE72:AE74)</f>
        <v>22</v>
      </c>
      <c r="AF71" s="66">
        <f t="shared" si="109"/>
        <v>22</v>
      </c>
      <c r="AG71" s="66">
        <f t="shared" ref="AG71:AJ71" si="110">+SUM(AG72:AG74)</f>
        <v>21</v>
      </c>
      <c r="AH71" s="66">
        <f t="shared" si="110"/>
        <v>18</v>
      </c>
      <c r="AI71" s="66">
        <f t="shared" si="110"/>
        <v>65</v>
      </c>
      <c r="AJ71" s="66">
        <f t="shared" si="110"/>
        <v>49</v>
      </c>
    </row>
    <row r="72" spans="1:36">
      <c r="A72" s="39"/>
      <c r="B72" s="39" t="s">
        <v>56</v>
      </c>
      <c r="C72" s="51">
        <v>1</v>
      </c>
      <c r="D72" s="51">
        <v>1</v>
      </c>
      <c r="E72" s="51">
        <v>2</v>
      </c>
      <c r="F72" s="51">
        <v>3</v>
      </c>
      <c r="G72" s="51">
        <v>1</v>
      </c>
      <c r="H72" s="51">
        <v>1</v>
      </c>
      <c r="I72" s="51">
        <v>1</v>
      </c>
      <c r="J72" s="51">
        <v>1</v>
      </c>
      <c r="K72" s="51">
        <v>1</v>
      </c>
      <c r="L72" s="51">
        <v>1</v>
      </c>
      <c r="M72" s="51">
        <v>1</v>
      </c>
      <c r="N72" s="51">
        <v>1</v>
      </c>
      <c r="O72" s="51">
        <v>1</v>
      </c>
      <c r="P72" s="51">
        <v>1</v>
      </c>
      <c r="Q72" s="51">
        <v>1</v>
      </c>
      <c r="R72" s="51">
        <v>1</v>
      </c>
      <c r="S72" s="51">
        <v>1</v>
      </c>
      <c r="T72" s="51">
        <v>1</v>
      </c>
      <c r="U72" s="51">
        <v>1</v>
      </c>
      <c r="V72" s="51">
        <v>1</v>
      </c>
      <c r="W72" s="51">
        <v>1</v>
      </c>
      <c r="X72" s="51">
        <v>1</v>
      </c>
      <c r="Y72" s="51">
        <v>1</v>
      </c>
      <c r="Z72" s="51">
        <v>1</v>
      </c>
      <c r="AA72" s="51">
        <v>1</v>
      </c>
      <c r="AB72" s="51">
        <v>1</v>
      </c>
      <c r="AC72" s="51">
        <v>1</v>
      </c>
      <c r="AD72" s="51">
        <v>1</v>
      </c>
      <c r="AE72" s="51">
        <v>1</v>
      </c>
      <c r="AF72" s="51">
        <v>1</v>
      </c>
      <c r="AG72" s="51">
        <v>1</v>
      </c>
      <c r="AH72" s="51">
        <v>1</v>
      </c>
      <c r="AI72" s="51">
        <v>1</v>
      </c>
      <c r="AJ72" s="51">
        <v>1</v>
      </c>
    </row>
    <row r="73" spans="1:36">
      <c r="A73" s="39"/>
      <c r="B73" s="39" t="s">
        <v>57</v>
      </c>
      <c r="C73" s="51">
        <v>26</v>
      </c>
      <c r="D73" s="51">
        <v>26</v>
      </c>
      <c r="E73" s="51">
        <v>218</v>
      </c>
      <c r="F73" s="51">
        <v>206</v>
      </c>
      <c r="G73" s="51">
        <v>10</v>
      </c>
      <c r="H73" s="51">
        <v>10</v>
      </c>
      <c r="I73" s="51">
        <v>16</v>
      </c>
      <c r="J73" s="51">
        <v>11</v>
      </c>
      <c r="K73" s="51"/>
      <c r="L73" s="51"/>
      <c r="M73" s="51">
        <v>17</v>
      </c>
      <c r="N73" s="51">
        <v>16</v>
      </c>
      <c r="O73" s="51">
        <v>22</v>
      </c>
      <c r="P73" s="51">
        <v>20</v>
      </c>
      <c r="Q73" s="51">
        <v>12</v>
      </c>
      <c r="R73" s="51">
        <v>12</v>
      </c>
      <c r="S73" s="51">
        <v>27</v>
      </c>
      <c r="T73" s="51">
        <v>27</v>
      </c>
      <c r="U73" s="51">
        <v>12</v>
      </c>
      <c r="V73" s="51">
        <v>12</v>
      </c>
      <c r="W73" s="51">
        <v>18</v>
      </c>
      <c r="X73" s="51">
        <v>16</v>
      </c>
      <c r="Y73" s="51">
        <v>16</v>
      </c>
      <c r="Z73" s="51">
        <v>12</v>
      </c>
      <c r="AA73" s="51">
        <v>13</v>
      </c>
      <c r="AB73" s="51">
        <v>11</v>
      </c>
      <c r="AC73" s="51">
        <v>33</v>
      </c>
      <c r="AD73" s="51">
        <v>33</v>
      </c>
      <c r="AE73" s="51">
        <v>16</v>
      </c>
      <c r="AF73" s="51">
        <v>16</v>
      </c>
      <c r="AG73" s="51">
        <v>15</v>
      </c>
      <c r="AH73" s="51">
        <v>14</v>
      </c>
      <c r="AI73" s="51">
        <v>47</v>
      </c>
      <c r="AJ73" s="51">
        <v>38</v>
      </c>
    </row>
    <row r="74" spans="1:36">
      <c r="A74" s="39"/>
      <c r="B74" s="39" t="s">
        <v>58</v>
      </c>
      <c r="C74" s="51">
        <v>4</v>
      </c>
      <c r="D74" s="51">
        <v>4</v>
      </c>
      <c r="E74" s="51">
        <v>47</v>
      </c>
      <c r="F74" s="51">
        <v>47</v>
      </c>
      <c r="G74" s="51">
        <v>2</v>
      </c>
      <c r="H74" s="51">
        <v>2</v>
      </c>
      <c r="I74" s="51">
        <v>5</v>
      </c>
      <c r="J74" s="51">
        <v>4</v>
      </c>
      <c r="K74" s="51"/>
      <c r="L74" s="51"/>
      <c r="M74" s="51">
        <v>4</v>
      </c>
      <c r="N74" s="51">
        <v>4</v>
      </c>
      <c r="O74" s="51">
        <v>6</v>
      </c>
      <c r="P74" s="51">
        <v>6</v>
      </c>
      <c r="Q74" s="51">
        <v>5</v>
      </c>
      <c r="R74" s="51">
        <v>5</v>
      </c>
      <c r="S74" s="51">
        <v>8</v>
      </c>
      <c r="T74" s="51">
        <v>8</v>
      </c>
      <c r="U74" s="51">
        <v>4</v>
      </c>
      <c r="V74" s="51">
        <v>4</v>
      </c>
      <c r="W74" s="51">
        <v>4</v>
      </c>
      <c r="X74" s="51">
        <v>4</v>
      </c>
      <c r="Y74" s="51">
        <v>4</v>
      </c>
      <c r="Z74" s="51">
        <v>4</v>
      </c>
      <c r="AA74" s="51">
        <v>6</v>
      </c>
      <c r="AB74" s="51">
        <v>6</v>
      </c>
      <c r="AC74" s="51">
        <v>12</v>
      </c>
      <c r="AD74" s="51">
        <v>12</v>
      </c>
      <c r="AE74" s="51">
        <v>5</v>
      </c>
      <c r="AF74" s="51">
        <v>5</v>
      </c>
      <c r="AG74" s="51">
        <v>5</v>
      </c>
      <c r="AH74" s="51">
        <v>3</v>
      </c>
      <c r="AI74" s="51">
        <v>17</v>
      </c>
      <c r="AJ74" s="51">
        <v>10</v>
      </c>
    </row>
    <row r="75" spans="1:36">
      <c r="A75" s="52"/>
      <c r="B75" s="52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</row>
    <row r="76" spans="1:36">
      <c r="A76" s="52"/>
      <c r="B76" s="52"/>
      <c r="C76" s="53"/>
      <c r="D76" s="53"/>
      <c r="E76" s="36"/>
      <c r="F76" s="36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</row>
    <row r="77" spans="1:36">
      <c r="A77" s="36"/>
      <c r="B77" s="36"/>
      <c r="C77" s="36"/>
      <c r="D77" s="55"/>
      <c r="F77" s="36"/>
      <c r="G77" s="36"/>
      <c r="H77" s="36"/>
      <c r="I77" s="36"/>
      <c r="J77" s="54"/>
      <c r="K77" s="55" t="s">
        <v>72</v>
      </c>
      <c r="L77" s="56"/>
      <c r="M77" s="36"/>
      <c r="N77" s="36"/>
      <c r="O77" s="36"/>
      <c r="P77" s="54"/>
      <c r="Q77" s="55" t="s">
        <v>72</v>
      </c>
      <c r="R77" s="56"/>
      <c r="S77" s="36"/>
      <c r="T77" s="36"/>
      <c r="U77" s="55" t="s">
        <v>72</v>
      </c>
      <c r="V77" s="56"/>
      <c r="W77" s="36"/>
      <c r="X77" s="36"/>
      <c r="Y77" s="36"/>
      <c r="Z77" s="54"/>
      <c r="AA77" s="55" t="s">
        <v>72</v>
      </c>
      <c r="AB77" s="56"/>
      <c r="AC77" s="36"/>
      <c r="AD77" s="36"/>
      <c r="AE77" s="55"/>
      <c r="AF77" s="56"/>
      <c r="AG77" s="36"/>
      <c r="AH77" s="36"/>
      <c r="AI77" s="36"/>
      <c r="AJ77" s="36"/>
    </row>
    <row r="78" spans="1:36">
      <c r="A78" s="36"/>
      <c r="B78" s="124" t="s">
        <v>139</v>
      </c>
      <c r="C78" s="124"/>
      <c r="D78" s="124"/>
      <c r="E78" s="124"/>
      <c r="F78" s="124"/>
      <c r="G78" s="124"/>
      <c r="H78" s="36"/>
      <c r="N78" s="36"/>
      <c r="O78" s="101"/>
      <c r="T78" s="36"/>
      <c r="X78" s="36"/>
      <c r="AD78" s="36"/>
      <c r="AH78" s="36"/>
      <c r="AJ78" s="36"/>
    </row>
    <row r="79" spans="1:36">
      <c r="A79" s="36"/>
      <c r="B79" s="57"/>
      <c r="C79" s="92"/>
      <c r="D79" s="92"/>
      <c r="F79" s="36"/>
      <c r="G79" s="58"/>
      <c r="H79" s="36"/>
      <c r="I79" s="103"/>
      <c r="J79" s="103"/>
      <c r="K79" s="103"/>
      <c r="L79" s="103"/>
      <c r="M79" s="111"/>
      <c r="N79" s="36"/>
      <c r="O79" s="100"/>
      <c r="P79" s="100"/>
      <c r="Q79" s="102"/>
      <c r="R79" s="102"/>
      <c r="S79" s="103"/>
      <c r="T79" s="36"/>
      <c r="U79" s="111"/>
      <c r="V79" s="111"/>
      <c r="W79" s="100"/>
      <c r="X79" s="36"/>
      <c r="Y79" s="103"/>
      <c r="Z79" s="103"/>
      <c r="AA79" s="103"/>
      <c r="AB79" s="103"/>
      <c r="AC79" s="102"/>
      <c r="AD79" s="36"/>
      <c r="AE79" s="100"/>
      <c r="AF79" s="100"/>
      <c r="AG79" s="100"/>
      <c r="AH79" s="36"/>
      <c r="AI79" s="103"/>
      <c r="AJ79" s="36"/>
    </row>
    <row r="80" spans="1:36">
      <c r="A80" s="36"/>
      <c r="B80" s="124" t="s">
        <v>163</v>
      </c>
      <c r="C80" s="124"/>
      <c r="D80" s="124"/>
      <c r="E80" s="124"/>
      <c r="F80" s="124"/>
      <c r="G80" s="124"/>
      <c r="H80" s="36"/>
      <c r="N80" s="36"/>
      <c r="T80" s="36"/>
      <c r="X80" s="36"/>
      <c r="AD80" s="36"/>
      <c r="AH80" s="36"/>
      <c r="AJ80" s="36"/>
    </row>
    <row r="81" spans="1:36">
      <c r="A81" s="36"/>
      <c r="B81" s="36"/>
      <c r="C81" s="36"/>
      <c r="D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</row>
  </sheetData>
  <mergeCells count="38">
    <mergeCell ref="AE4:AF4"/>
    <mergeCell ref="AG4:AH4"/>
    <mergeCell ref="AE5:AF5"/>
    <mergeCell ref="AG5:AH5"/>
    <mergeCell ref="AI4:AJ4"/>
    <mergeCell ref="AI5:AJ5"/>
    <mergeCell ref="U5:V5"/>
    <mergeCell ref="W5:X5"/>
    <mergeCell ref="Y5:Z5"/>
    <mergeCell ref="AA5:AB5"/>
    <mergeCell ref="AC5:AD5"/>
    <mergeCell ref="U4:V4"/>
    <mergeCell ref="W4:X4"/>
    <mergeCell ref="Y4:Z4"/>
    <mergeCell ref="AA4:AB4"/>
    <mergeCell ref="AC4:AD4"/>
    <mergeCell ref="O4:P4"/>
    <mergeCell ref="Q4:R4"/>
    <mergeCell ref="S4:T4"/>
    <mergeCell ref="O5:P5"/>
    <mergeCell ref="Q5:R5"/>
    <mergeCell ref="S5:T5"/>
    <mergeCell ref="I4:J4"/>
    <mergeCell ref="K4:L4"/>
    <mergeCell ref="M4:N4"/>
    <mergeCell ref="I5:J5"/>
    <mergeCell ref="K5:L5"/>
    <mergeCell ref="M5:N5"/>
    <mergeCell ref="B78:G78"/>
    <mergeCell ref="B80:G80"/>
    <mergeCell ref="A4:A5"/>
    <mergeCell ref="B4:B5"/>
    <mergeCell ref="C4:D4"/>
    <mergeCell ref="E4:F4"/>
    <mergeCell ref="G4:H4"/>
    <mergeCell ref="C5:D5"/>
    <mergeCell ref="E5:F5"/>
    <mergeCell ref="G5:H5"/>
  </mergeCells>
  <pageMargins left="0.7" right="0.7" top="0.75" bottom="0.75" header="0.3" footer="0.3"/>
  <pageSetup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0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S19" sqref="S19"/>
    </sheetView>
  </sheetViews>
  <sheetFormatPr defaultRowHeight="15"/>
  <cols>
    <col min="1" max="1" width="16.5703125" style="75" customWidth="1"/>
    <col min="2" max="2" width="13.140625" style="75" bestFit="1" customWidth="1"/>
    <col min="3" max="3" width="8.85546875" style="75" bestFit="1" customWidth="1"/>
    <col min="4" max="4" width="8.5703125" style="75" bestFit="1" customWidth="1"/>
    <col min="5" max="5" width="7.140625" style="75" bestFit="1" customWidth="1"/>
    <col min="6" max="7" width="16.7109375" style="75" bestFit="1" customWidth="1"/>
    <col min="8" max="8" width="16.7109375" style="75" customWidth="1"/>
    <col min="9" max="9" width="16.7109375" style="75" bestFit="1" customWidth="1"/>
    <col min="10" max="11" width="18.7109375" style="75" customWidth="1"/>
    <col min="12" max="12" width="18.28515625" style="75" bestFit="1" customWidth="1"/>
    <col min="13" max="13" width="13.28515625" style="75" bestFit="1" customWidth="1"/>
    <col min="14" max="16384" width="9.140625" style="75"/>
  </cols>
  <sheetData>
    <row r="1" spans="1:12">
      <c r="A1" s="28" t="s">
        <v>176</v>
      </c>
      <c r="B1" s="28"/>
      <c r="C1" s="28"/>
      <c r="D1" s="28"/>
      <c r="E1" s="28"/>
      <c r="F1" s="28"/>
      <c r="G1" s="28"/>
      <c r="H1" s="28"/>
      <c r="I1" s="28"/>
      <c r="J1" s="113"/>
      <c r="K1" s="113"/>
      <c r="L1" s="1"/>
    </row>
    <row r="2" spans="1:12">
      <c r="A2" s="1"/>
      <c r="B2" s="1"/>
      <c r="C2" s="1"/>
      <c r="D2" s="1"/>
      <c r="E2" s="1"/>
      <c r="F2" s="20"/>
      <c r="G2" s="20"/>
      <c r="H2" s="20"/>
      <c r="I2" s="20"/>
      <c r="J2" s="20"/>
      <c r="K2" s="20"/>
      <c r="L2" s="1"/>
    </row>
    <row r="3" spans="1:12" ht="51">
      <c r="A3" s="16" t="s">
        <v>78</v>
      </c>
      <c r="B3" s="16" t="s">
        <v>59</v>
      </c>
      <c r="C3" s="16" t="s">
        <v>79</v>
      </c>
      <c r="D3" s="16" t="s">
        <v>80</v>
      </c>
      <c r="E3" s="16" t="s">
        <v>81</v>
      </c>
      <c r="F3" s="73" t="s">
        <v>109</v>
      </c>
      <c r="G3" s="73" t="s">
        <v>126</v>
      </c>
      <c r="H3" s="73" t="s">
        <v>125</v>
      </c>
      <c r="I3" s="73" t="s">
        <v>110</v>
      </c>
      <c r="J3" s="17" t="s">
        <v>103</v>
      </c>
      <c r="K3" s="17" t="s">
        <v>104</v>
      </c>
      <c r="L3" s="1"/>
    </row>
    <row r="4" spans="1:12">
      <c r="A4" s="18" t="s">
        <v>82</v>
      </c>
      <c r="B4" s="6">
        <v>100110020001</v>
      </c>
      <c r="C4" s="5">
        <v>71603</v>
      </c>
      <c r="D4" s="5">
        <v>80101</v>
      </c>
      <c r="E4" s="5">
        <v>210101</v>
      </c>
      <c r="F4" s="30"/>
      <c r="G4" s="30">
        <f t="shared" ref="G4:G9" si="0">I4-F4</f>
        <v>0</v>
      </c>
      <c r="H4" s="30"/>
      <c r="I4" s="30">
        <v>0</v>
      </c>
      <c r="J4" s="15"/>
      <c r="K4" s="15"/>
      <c r="L4" s="1" t="s">
        <v>68</v>
      </c>
    </row>
    <row r="5" spans="1:12">
      <c r="A5" s="18" t="s">
        <v>82</v>
      </c>
      <c r="B5" s="6">
        <v>100110020001</v>
      </c>
      <c r="C5" s="5">
        <v>71603</v>
      </c>
      <c r="D5" s="5">
        <v>80101</v>
      </c>
      <c r="E5" s="5">
        <v>210104</v>
      </c>
      <c r="F5" s="30">
        <v>0</v>
      </c>
      <c r="G5" s="30">
        <f t="shared" si="0"/>
        <v>0</v>
      </c>
      <c r="H5" s="30"/>
      <c r="I5" s="30">
        <v>0</v>
      </c>
      <c r="J5" s="15"/>
      <c r="K5" s="15"/>
      <c r="L5" s="1" t="s">
        <v>12</v>
      </c>
    </row>
    <row r="6" spans="1:12">
      <c r="A6" s="18" t="s">
        <v>82</v>
      </c>
      <c r="B6" s="6">
        <v>100110020001</v>
      </c>
      <c r="C6" s="8">
        <v>71603</v>
      </c>
      <c r="D6" s="8">
        <v>80101</v>
      </c>
      <c r="E6" s="8">
        <v>210201</v>
      </c>
      <c r="F6" s="31">
        <v>0</v>
      </c>
      <c r="G6" s="31">
        <f t="shared" si="0"/>
        <v>0</v>
      </c>
      <c r="H6" s="31"/>
      <c r="I6" s="31">
        <v>0</v>
      </c>
      <c r="J6" s="15"/>
      <c r="K6" s="15"/>
      <c r="L6" s="19" t="s">
        <v>83</v>
      </c>
    </row>
    <row r="7" spans="1:12">
      <c r="A7" s="18" t="s">
        <v>82</v>
      </c>
      <c r="B7" s="6">
        <v>100110020001</v>
      </c>
      <c r="C7" s="8">
        <v>71603</v>
      </c>
      <c r="D7" s="8">
        <v>80101</v>
      </c>
      <c r="E7" s="8">
        <v>210301</v>
      </c>
      <c r="F7" s="32"/>
      <c r="G7" s="32">
        <f t="shared" si="0"/>
        <v>0</v>
      </c>
      <c r="H7" s="32"/>
      <c r="I7" s="32"/>
      <c r="J7" s="14"/>
      <c r="K7" s="14"/>
      <c r="L7" s="13" t="s">
        <v>20</v>
      </c>
    </row>
    <row r="8" spans="1:12">
      <c r="A8" s="18" t="s">
        <v>82</v>
      </c>
      <c r="B8" s="6">
        <v>100110020001</v>
      </c>
      <c r="C8" s="5">
        <v>71603</v>
      </c>
      <c r="D8" s="5">
        <v>80101</v>
      </c>
      <c r="E8" s="4">
        <v>210402</v>
      </c>
      <c r="F8" s="32">
        <v>0</v>
      </c>
      <c r="G8" s="32">
        <f t="shared" si="0"/>
        <v>4681565</v>
      </c>
      <c r="H8" s="32"/>
      <c r="I8" s="32">
        <v>4681565</v>
      </c>
      <c r="J8" s="29"/>
      <c r="K8" s="14"/>
      <c r="L8" s="13" t="s">
        <v>112</v>
      </c>
    </row>
    <row r="9" spans="1:12">
      <c r="A9" s="18" t="s">
        <v>82</v>
      </c>
      <c r="B9" s="6">
        <v>100110020001</v>
      </c>
      <c r="C9" s="5">
        <v>71603</v>
      </c>
      <c r="D9" s="5">
        <v>80101</v>
      </c>
      <c r="E9" s="5">
        <v>210604</v>
      </c>
      <c r="F9" s="30"/>
      <c r="G9" s="30">
        <f t="shared" si="0"/>
        <v>0</v>
      </c>
      <c r="H9" s="30"/>
      <c r="I9" s="30"/>
      <c r="J9" s="9"/>
      <c r="K9" s="73"/>
      <c r="L9" s="1" t="s">
        <v>37</v>
      </c>
    </row>
    <row r="10" spans="1:12">
      <c r="A10" s="134" t="s">
        <v>85</v>
      </c>
      <c r="B10" s="134"/>
      <c r="C10" s="134"/>
      <c r="D10" s="134"/>
      <c r="E10" s="134"/>
      <c r="F10" s="33">
        <f>SUM(F4:F9)</f>
        <v>0</v>
      </c>
      <c r="G10" s="33">
        <f>SUM(G4:G9)</f>
        <v>4681565</v>
      </c>
      <c r="H10" s="33"/>
      <c r="I10" s="33">
        <f>SUM(I4:I9)</f>
        <v>4681565</v>
      </c>
      <c r="J10" s="136"/>
      <c r="K10" s="136"/>
      <c r="L10" s="1"/>
    </row>
    <row r="11" spans="1:12" ht="20.25" customHeight="1">
      <c r="A11" s="18" t="s">
        <v>74</v>
      </c>
      <c r="B11" s="7">
        <v>100110020002</v>
      </c>
      <c r="C11" s="8">
        <v>71602</v>
      </c>
      <c r="D11" s="8">
        <v>80101</v>
      </c>
      <c r="E11" s="8">
        <v>210101</v>
      </c>
      <c r="F11" s="32">
        <v>3628425.21</v>
      </c>
      <c r="G11" s="32"/>
      <c r="H11" s="32"/>
      <c r="I11" s="32">
        <f>F11+G11-H11</f>
        <v>3628425.21</v>
      </c>
      <c r="J11" s="14"/>
      <c r="K11" s="138"/>
      <c r="L11" s="13"/>
    </row>
    <row r="12" spans="1:12">
      <c r="A12" s="18" t="s">
        <v>74</v>
      </c>
      <c r="B12" s="7">
        <v>100110020002</v>
      </c>
      <c r="C12" s="8">
        <v>71602</v>
      </c>
      <c r="D12" s="8">
        <v>80101</v>
      </c>
      <c r="E12" s="8">
        <v>210202</v>
      </c>
      <c r="F12" s="32">
        <v>244589716.59999999</v>
      </c>
      <c r="G12" s="32">
        <v>105783527.8</v>
      </c>
      <c r="H12" s="32">
        <v>138701443</v>
      </c>
      <c r="I12" s="32">
        <f t="shared" ref="I12:I20" si="1">F12+G12-H12</f>
        <v>211671801.39999998</v>
      </c>
      <c r="J12" s="14"/>
      <c r="K12" s="138"/>
      <c r="L12" s="13"/>
    </row>
    <row r="13" spans="1:12">
      <c r="A13" s="18" t="s">
        <v>74</v>
      </c>
      <c r="B13" s="7">
        <v>100110020002</v>
      </c>
      <c r="C13" s="8">
        <v>71602</v>
      </c>
      <c r="D13" s="8">
        <v>80101</v>
      </c>
      <c r="E13" s="8">
        <v>210102</v>
      </c>
      <c r="F13" s="32">
        <v>101600103.3</v>
      </c>
      <c r="G13" s="32">
        <v>35725670.18</v>
      </c>
      <c r="H13" s="32"/>
      <c r="I13" s="32">
        <f t="shared" si="1"/>
        <v>137325773.47999999</v>
      </c>
      <c r="J13" s="14"/>
      <c r="K13" s="14"/>
      <c r="L13" s="13"/>
    </row>
    <row r="14" spans="1:12">
      <c r="A14" s="18" t="s">
        <v>74</v>
      </c>
      <c r="B14" s="7">
        <v>100110020002</v>
      </c>
      <c r="C14" s="8">
        <v>71602</v>
      </c>
      <c r="D14" s="8">
        <v>80101</v>
      </c>
      <c r="E14" s="8">
        <v>210104</v>
      </c>
      <c r="F14" s="32">
        <v>13997688.699999999</v>
      </c>
      <c r="G14" s="32">
        <v>1590240.68</v>
      </c>
      <c r="H14" s="32"/>
      <c r="I14" s="32">
        <f t="shared" si="1"/>
        <v>15587929.379999999</v>
      </c>
      <c r="J14" s="14"/>
      <c r="K14" s="14"/>
      <c r="L14" s="13"/>
    </row>
    <row r="15" spans="1:12">
      <c r="A15" s="18" t="s">
        <v>74</v>
      </c>
      <c r="B15" s="7">
        <v>100110020002</v>
      </c>
      <c r="C15" s="8">
        <v>71602</v>
      </c>
      <c r="D15" s="8">
        <v>80101</v>
      </c>
      <c r="E15" s="8">
        <v>210301</v>
      </c>
      <c r="F15" s="32">
        <v>21513644.120000001</v>
      </c>
      <c r="G15" s="32"/>
      <c r="H15" s="32">
        <v>21513444.120000001</v>
      </c>
      <c r="I15" s="32">
        <f t="shared" si="1"/>
        <v>200</v>
      </c>
      <c r="J15" s="14"/>
      <c r="K15" s="14"/>
      <c r="L15" s="13"/>
    </row>
    <row r="16" spans="1:12">
      <c r="A16" s="18" t="s">
        <v>74</v>
      </c>
      <c r="B16" s="7">
        <v>100110020002</v>
      </c>
      <c r="C16" s="8">
        <v>71602</v>
      </c>
      <c r="D16" s="8">
        <v>80101</v>
      </c>
      <c r="E16" s="8">
        <v>210303</v>
      </c>
      <c r="F16" s="32">
        <v>18547336</v>
      </c>
      <c r="G16" s="32">
        <v>32300</v>
      </c>
      <c r="H16" s="32">
        <v>18579636</v>
      </c>
      <c r="I16" s="32">
        <f t="shared" si="1"/>
        <v>0</v>
      </c>
      <c r="J16" s="14"/>
      <c r="K16" s="14"/>
      <c r="L16" s="13"/>
    </row>
    <row r="17" spans="1:14">
      <c r="A17" s="18"/>
      <c r="B17" s="7"/>
      <c r="C17" s="8"/>
      <c r="D17" s="8"/>
      <c r="E17" s="8"/>
      <c r="F17" s="32"/>
      <c r="G17" s="32"/>
      <c r="H17" s="32"/>
      <c r="I17" s="32"/>
      <c r="J17" s="14"/>
      <c r="K17" s="14"/>
      <c r="L17" s="13"/>
    </row>
    <row r="18" spans="1:14">
      <c r="A18" s="18" t="s">
        <v>74</v>
      </c>
      <c r="B18" s="7">
        <v>100110020002</v>
      </c>
      <c r="C18" s="8">
        <v>71602</v>
      </c>
      <c r="D18" s="8">
        <v>80101</v>
      </c>
      <c r="E18" s="4">
        <v>210403</v>
      </c>
      <c r="F18" s="32">
        <v>2001000.4</v>
      </c>
      <c r="G18" s="32">
        <v>2447400</v>
      </c>
      <c r="H18" s="32">
        <v>4448400.4000000004</v>
      </c>
      <c r="I18" s="32">
        <f t="shared" si="1"/>
        <v>0</v>
      </c>
      <c r="J18" s="29"/>
      <c r="K18" s="14"/>
      <c r="L18" s="13"/>
    </row>
    <row r="19" spans="1:14">
      <c r="A19" s="18" t="s">
        <v>74</v>
      </c>
      <c r="B19" s="7">
        <v>100110020002</v>
      </c>
      <c r="C19" s="8">
        <v>71602</v>
      </c>
      <c r="D19" s="8">
        <v>80101</v>
      </c>
      <c r="E19" s="4">
        <v>210502</v>
      </c>
      <c r="F19" s="32">
        <v>43509084</v>
      </c>
      <c r="G19" s="32">
        <v>31804150</v>
      </c>
      <c r="H19" s="32">
        <v>63264147</v>
      </c>
      <c r="I19" s="32">
        <f t="shared" si="1"/>
        <v>12049087</v>
      </c>
      <c r="J19" s="29"/>
      <c r="K19" s="14"/>
      <c r="L19" s="13"/>
    </row>
    <row r="20" spans="1:14">
      <c r="A20" s="18" t="s">
        <v>74</v>
      </c>
      <c r="B20" s="7">
        <v>100110020002</v>
      </c>
      <c r="C20" s="8">
        <v>71602</v>
      </c>
      <c r="D20" s="8">
        <v>80101</v>
      </c>
      <c r="E20" s="4">
        <v>210501</v>
      </c>
      <c r="F20" s="32">
        <v>707531398.71000004</v>
      </c>
      <c r="G20" s="32">
        <v>191706839</v>
      </c>
      <c r="H20" s="32">
        <v>407635190</v>
      </c>
      <c r="I20" s="32">
        <f t="shared" si="1"/>
        <v>491603047.71000004</v>
      </c>
      <c r="J20" s="29"/>
      <c r="K20" s="14"/>
      <c r="L20" s="13"/>
    </row>
    <row r="21" spans="1:14">
      <c r="A21" s="134" t="s">
        <v>93</v>
      </c>
      <c r="B21" s="134"/>
      <c r="C21" s="134"/>
      <c r="D21" s="134"/>
      <c r="E21" s="134"/>
      <c r="F21" s="33">
        <f>SUM(F11:F20)</f>
        <v>1156918397.04</v>
      </c>
      <c r="G21" s="33">
        <f t="shared" ref="G21:I21" si="2">SUM(G11:G20)</f>
        <v>369090127.65999997</v>
      </c>
      <c r="H21" s="33">
        <f t="shared" si="2"/>
        <v>654142260.51999998</v>
      </c>
      <c r="I21" s="33">
        <f t="shared" si="2"/>
        <v>871866264.18000007</v>
      </c>
      <c r="J21" s="135"/>
      <c r="K21" s="135"/>
      <c r="L21" s="1"/>
    </row>
    <row r="22" spans="1:14" customFormat="1">
      <c r="A22" s="18" t="s">
        <v>153</v>
      </c>
      <c r="B22" s="7">
        <v>100110020005</v>
      </c>
      <c r="C22" s="8">
        <v>71601</v>
      </c>
      <c r="D22" s="8">
        <v>80101</v>
      </c>
      <c r="E22" s="8">
        <v>210301</v>
      </c>
      <c r="F22" s="30">
        <v>497297</v>
      </c>
      <c r="G22" s="30">
        <f t="shared" ref="G22" si="3">I22-F22</f>
        <v>-497297</v>
      </c>
      <c r="H22" s="30"/>
      <c r="I22" s="30">
        <v>0</v>
      </c>
      <c r="J22" s="21"/>
      <c r="K22" s="21"/>
      <c r="L22" s="13" t="s">
        <v>97</v>
      </c>
    </row>
    <row r="23" spans="1:14" customFormat="1">
      <c r="A23" s="18" t="s">
        <v>153</v>
      </c>
      <c r="B23" s="7">
        <v>100110020005</v>
      </c>
      <c r="C23" s="8">
        <v>71601</v>
      </c>
      <c r="D23" s="8">
        <v>80101</v>
      </c>
      <c r="E23" s="8">
        <v>210501</v>
      </c>
      <c r="F23" s="30">
        <v>0</v>
      </c>
      <c r="G23" s="30">
        <v>0</v>
      </c>
      <c r="H23" s="30"/>
      <c r="I23" s="30">
        <v>5200000</v>
      </c>
      <c r="J23" s="21"/>
      <c r="K23" s="114" t="s">
        <v>173</v>
      </c>
      <c r="L23" s="13"/>
    </row>
    <row r="24" spans="1:14">
      <c r="A24" s="137" t="s">
        <v>130</v>
      </c>
      <c r="B24" s="137"/>
      <c r="C24" s="137"/>
      <c r="D24" s="137"/>
      <c r="E24" s="137"/>
      <c r="F24" s="74">
        <f>SUM(F22:F23)</f>
        <v>497297</v>
      </c>
      <c r="G24" s="74">
        <f t="shared" ref="G24:I24" si="4">SUM(G22:G23)</f>
        <v>-497297</v>
      </c>
      <c r="H24" s="74">
        <f t="shared" si="4"/>
        <v>0</v>
      </c>
      <c r="I24" s="74">
        <f t="shared" si="4"/>
        <v>5200000</v>
      </c>
      <c r="J24" s="14"/>
      <c r="K24" s="14"/>
      <c r="L24" s="13"/>
    </row>
    <row r="25" spans="1:14">
      <c r="A25" s="18" t="s">
        <v>157</v>
      </c>
      <c r="B25" s="6">
        <v>10011022010</v>
      </c>
      <c r="C25" s="5">
        <v>71602</v>
      </c>
      <c r="D25" s="5">
        <v>80302</v>
      </c>
      <c r="E25" s="5">
        <v>210101</v>
      </c>
      <c r="F25" s="30">
        <v>8084451</v>
      </c>
      <c r="G25" s="30">
        <v>1844819</v>
      </c>
      <c r="H25" s="99"/>
      <c r="I25" s="123">
        <f>SUM(F25+G25)</f>
        <v>9929270</v>
      </c>
      <c r="J25" s="15" t="s">
        <v>158</v>
      </c>
      <c r="K25" s="15"/>
      <c r="L25" s="1"/>
    </row>
    <row r="26" spans="1:14">
      <c r="A26" s="112"/>
      <c r="B26" s="112"/>
      <c r="C26" s="112"/>
      <c r="D26" s="112"/>
      <c r="E26" s="112"/>
      <c r="F26" s="33">
        <f>SUM(F25)</f>
        <v>8084451</v>
      </c>
      <c r="G26" s="33">
        <f t="shared" ref="G26:H26" si="5">SUM(G25)</f>
        <v>1844819</v>
      </c>
      <c r="H26" s="33">
        <f t="shared" si="5"/>
        <v>0</v>
      </c>
      <c r="I26" s="33">
        <f>SUM(I25)</f>
        <v>9929270</v>
      </c>
      <c r="J26" s="119"/>
      <c r="K26" s="119"/>
      <c r="L26" s="1"/>
      <c r="N26"/>
    </row>
    <row r="27" spans="1:14" customFormat="1">
      <c r="A27" s="18" t="s">
        <v>113</v>
      </c>
      <c r="B27" s="7">
        <v>100110120010</v>
      </c>
      <c r="C27" s="8">
        <v>71602</v>
      </c>
      <c r="D27" s="8">
        <v>80111</v>
      </c>
      <c r="E27" s="8">
        <v>210302</v>
      </c>
      <c r="F27" s="30">
        <v>0</v>
      </c>
      <c r="G27" s="30">
        <f t="shared" ref="G27" si="6">I27-F27</f>
        <v>0</v>
      </c>
      <c r="H27" s="30"/>
      <c r="I27" s="30"/>
      <c r="J27" s="21"/>
      <c r="K27" s="21"/>
      <c r="L27" s="13" t="s">
        <v>97</v>
      </c>
    </row>
    <row r="28" spans="1:14">
      <c r="A28" s="137" t="s">
        <v>130</v>
      </c>
      <c r="B28" s="137"/>
      <c r="C28" s="137"/>
      <c r="D28" s="137"/>
      <c r="E28" s="137"/>
      <c r="F28" s="74">
        <f>SUM(F27)</f>
        <v>0</v>
      </c>
      <c r="G28" s="32"/>
      <c r="H28" s="32"/>
      <c r="I28" s="74">
        <f>SUM(I27)</f>
        <v>0</v>
      </c>
      <c r="J28" s="14"/>
      <c r="K28" s="14"/>
      <c r="L28" s="13"/>
    </row>
    <row r="29" spans="1:14" customFormat="1">
      <c r="A29" s="18" t="s">
        <v>134</v>
      </c>
      <c r="B29" s="7">
        <v>100110320001</v>
      </c>
      <c r="C29" s="8">
        <v>71602</v>
      </c>
      <c r="D29" s="8">
        <v>80302</v>
      </c>
      <c r="E29" s="8">
        <v>210101</v>
      </c>
      <c r="F29" s="32">
        <v>306104.09999999998</v>
      </c>
      <c r="G29" s="32">
        <f>1917831.24-306104.1+92684.63</f>
        <v>1704411.77</v>
      </c>
      <c r="H29" s="32"/>
      <c r="I29" s="32">
        <f>+F29+G29</f>
        <v>2010515.87</v>
      </c>
      <c r="J29" s="29" t="s">
        <v>170</v>
      </c>
      <c r="K29" s="14" t="s">
        <v>171</v>
      </c>
      <c r="L29" s="10"/>
    </row>
    <row r="30" spans="1:14" customFormat="1">
      <c r="A30" s="18" t="s">
        <v>134</v>
      </c>
      <c r="B30" s="7">
        <v>100110320001</v>
      </c>
      <c r="C30" s="8">
        <v>71602</v>
      </c>
      <c r="D30" s="8">
        <v>80111</v>
      </c>
      <c r="E30" s="8">
        <v>210302</v>
      </c>
      <c r="F30" s="32">
        <v>212099</v>
      </c>
      <c r="G30" s="32">
        <v>0</v>
      </c>
      <c r="H30" s="32">
        <f>212099-50</f>
        <v>212049</v>
      </c>
      <c r="I30" s="32">
        <f>+F30-H30</f>
        <v>50</v>
      </c>
      <c r="J30" s="29" t="s">
        <v>162</v>
      </c>
      <c r="K30" s="14" t="s">
        <v>171</v>
      </c>
      <c r="L30" s="10"/>
    </row>
    <row r="31" spans="1:14" customFormat="1">
      <c r="A31" s="18" t="s">
        <v>134</v>
      </c>
      <c r="B31" s="7">
        <v>100110320001</v>
      </c>
      <c r="C31" s="8">
        <v>71602</v>
      </c>
      <c r="D31" s="8">
        <v>80302</v>
      </c>
      <c r="E31" s="8">
        <v>210403</v>
      </c>
      <c r="F31" s="32" t="s">
        <v>172</v>
      </c>
      <c r="G31" s="32">
        <v>197200</v>
      </c>
      <c r="H31" s="32"/>
      <c r="I31" s="32">
        <f>G31</f>
        <v>197200</v>
      </c>
      <c r="J31" s="29" t="s">
        <v>162</v>
      </c>
      <c r="K31" s="14" t="s">
        <v>171</v>
      </c>
      <c r="L31" s="10"/>
    </row>
    <row r="32" spans="1:14" customFormat="1">
      <c r="A32" s="18"/>
      <c r="B32" s="7"/>
      <c r="C32" s="5"/>
      <c r="D32" s="5"/>
      <c r="E32" s="5"/>
      <c r="F32" s="80">
        <f>SUM(F29:F31)</f>
        <v>518203.1</v>
      </c>
      <c r="G32" s="31"/>
      <c r="H32" s="31"/>
      <c r="I32" s="80">
        <f>SUM(I29:I31)</f>
        <v>2207765.87</v>
      </c>
      <c r="J32" s="14"/>
      <c r="K32" s="21"/>
      <c r="L32" s="1"/>
    </row>
    <row r="33" spans="1:12">
      <c r="A33" s="18" t="s">
        <v>129</v>
      </c>
      <c r="B33" s="7">
        <v>1001104200010</v>
      </c>
      <c r="C33" s="8">
        <v>71602</v>
      </c>
      <c r="D33" s="8">
        <v>80302</v>
      </c>
      <c r="E33" s="8">
        <v>210303</v>
      </c>
      <c r="F33" s="31"/>
      <c r="G33" s="104">
        <v>228800</v>
      </c>
      <c r="H33" s="32"/>
      <c r="I33" s="104">
        <v>228800</v>
      </c>
      <c r="J33" s="21"/>
      <c r="K33" s="21"/>
      <c r="L33" s="13" t="s">
        <v>166</v>
      </c>
    </row>
    <row r="34" spans="1:12">
      <c r="A34" s="18" t="s">
        <v>129</v>
      </c>
      <c r="B34" s="7">
        <v>100110420010</v>
      </c>
      <c r="C34" s="8">
        <v>71602</v>
      </c>
      <c r="D34" s="8">
        <v>80302</v>
      </c>
      <c r="E34" s="8">
        <v>210501</v>
      </c>
      <c r="F34" s="32"/>
      <c r="G34" s="32">
        <v>6903880</v>
      </c>
      <c r="H34" s="120">
        <v>4183370</v>
      </c>
      <c r="I34" s="32">
        <v>2720510</v>
      </c>
      <c r="J34" s="14"/>
      <c r="K34" s="14"/>
      <c r="L34" s="13" t="s">
        <v>89</v>
      </c>
    </row>
    <row r="35" spans="1:12">
      <c r="A35" s="18" t="s">
        <v>129</v>
      </c>
      <c r="B35" s="7">
        <v>100110420010</v>
      </c>
      <c r="C35" s="8">
        <v>71602</v>
      </c>
      <c r="D35" s="8">
        <v>81603</v>
      </c>
      <c r="E35" s="8">
        <v>210502</v>
      </c>
      <c r="F35" s="32"/>
      <c r="G35" s="32">
        <v>1854080</v>
      </c>
      <c r="H35" s="32">
        <v>1684080</v>
      </c>
      <c r="I35" s="32">
        <v>170000</v>
      </c>
      <c r="J35" s="14"/>
      <c r="K35" s="14"/>
      <c r="L35" s="13" t="s">
        <v>25</v>
      </c>
    </row>
    <row r="36" spans="1:12">
      <c r="A36" s="18" t="s">
        <v>129</v>
      </c>
      <c r="B36" s="7">
        <v>100110420010</v>
      </c>
      <c r="C36" s="8">
        <v>71602</v>
      </c>
      <c r="D36" s="8">
        <v>81603</v>
      </c>
      <c r="E36" s="8">
        <v>210801</v>
      </c>
      <c r="F36" s="32"/>
      <c r="G36" s="32">
        <v>2032300</v>
      </c>
      <c r="H36" s="120">
        <v>1691900</v>
      </c>
      <c r="I36" s="32">
        <v>340400</v>
      </c>
      <c r="J36" s="14"/>
      <c r="K36" s="14"/>
      <c r="L36" s="13" t="s">
        <v>167</v>
      </c>
    </row>
    <row r="37" spans="1:12">
      <c r="A37" s="18"/>
      <c r="B37" s="7"/>
      <c r="C37" s="8"/>
      <c r="D37" s="8"/>
      <c r="E37" s="4"/>
      <c r="F37" s="32"/>
      <c r="G37" s="105"/>
      <c r="H37" s="105"/>
      <c r="I37" s="106"/>
      <c r="J37" s="29"/>
      <c r="K37" s="14"/>
      <c r="L37" s="13"/>
    </row>
    <row r="38" spans="1:12">
      <c r="A38" s="134" t="s">
        <v>93</v>
      </c>
      <c r="B38" s="134"/>
      <c r="C38" s="134"/>
      <c r="D38" s="134"/>
      <c r="E38" s="134"/>
      <c r="F38" s="33"/>
      <c r="G38" s="107">
        <f>SUM(G33:G37)</f>
        <v>11019060</v>
      </c>
      <c r="H38" s="107">
        <f>SUM(H33:H37)</f>
        <v>7559350</v>
      </c>
      <c r="I38" s="107">
        <f>SUM(I33:I37)</f>
        <v>3459710</v>
      </c>
      <c r="J38" s="135"/>
      <c r="K38" s="135"/>
      <c r="L38" s="1"/>
    </row>
    <row r="39" spans="1:12">
      <c r="A39" s="16" t="s">
        <v>135</v>
      </c>
      <c r="B39" s="115">
        <v>100111320010</v>
      </c>
      <c r="C39" s="16">
        <v>71602</v>
      </c>
      <c r="D39" s="16">
        <v>80302</v>
      </c>
      <c r="E39" s="16">
        <v>210201</v>
      </c>
      <c r="F39" s="116">
        <v>423859</v>
      </c>
      <c r="G39" s="32"/>
      <c r="H39" s="32">
        <v>423859</v>
      </c>
      <c r="I39" s="117">
        <f>+F39+G39-H39</f>
        <v>0</v>
      </c>
      <c r="J39" s="14"/>
      <c r="K39" s="14"/>
      <c r="L39" s="13"/>
    </row>
    <row r="40" spans="1:12">
      <c r="A40" s="16" t="s">
        <v>135</v>
      </c>
      <c r="B40" s="115">
        <v>100111320010</v>
      </c>
      <c r="C40" s="16">
        <v>71602</v>
      </c>
      <c r="D40" s="16">
        <v>83603</v>
      </c>
      <c r="E40" s="16">
        <v>213209</v>
      </c>
      <c r="F40" s="116">
        <v>333454</v>
      </c>
      <c r="G40" s="32"/>
      <c r="H40" s="32"/>
      <c r="I40" s="117">
        <f t="shared" ref="I40:I41" si="7">+F40+G40-H40</f>
        <v>333454</v>
      </c>
      <c r="J40" s="14"/>
      <c r="K40" s="14" t="s">
        <v>173</v>
      </c>
      <c r="L40" s="13"/>
    </row>
    <row r="41" spans="1:12">
      <c r="A41" s="16" t="s">
        <v>135</v>
      </c>
      <c r="B41" s="115">
        <v>100111320010</v>
      </c>
      <c r="C41" s="16">
        <v>71602</v>
      </c>
      <c r="D41" s="16">
        <v>83603</v>
      </c>
      <c r="E41" s="16">
        <v>210501</v>
      </c>
      <c r="F41" s="116"/>
      <c r="G41" s="32">
        <v>1018000</v>
      </c>
      <c r="H41" s="32"/>
      <c r="I41" s="117">
        <f t="shared" si="7"/>
        <v>1018000</v>
      </c>
      <c r="J41" s="14"/>
      <c r="K41" s="14" t="s">
        <v>173</v>
      </c>
      <c r="L41" s="13"/>
    </row>
    <row r="42" spans="1:12">
      <c r="A42" s="134" t="s">
        <v>85</v>
      </c>
      <c r="B42" s="134"/>
      <c r="C42" s="134"/>
      <c r="D42" s="134"/>
      <c r="E42" s="134"/>
      <c r="F42" s="118">
        <f>+F39+F40+F41</f>
        <v>757313</v>
      </c>
      <c r="G42" s="118">
        <f t="shared" ref="G42:I42" si="8">+G39+G40+G41</f>
        <v>1018000</v>
      </c>
      <c r="H42" s="118">
        <f t="shared" si="8"/>
        <v>423859</v>
      </c>
      <c r="I42" s="118">
        <f t="shared" si="8"/>
        <v>1351454</v>
      </c>
      <c r="J42" s="14"/>
      <c r="K42" s="14"/>
      <c r="L42" s="13"/>
    </row>
    <row r="43" spans="1:12" ht="39.6" customHeight="1">
      <c r="A43" s="18" t="s">
        <v>145</v>
      </c>
      <c r="B43" s="7">
        <v>100110620010</v>
      </c>
      <c r="C43" s="8" t="s">
        <v>146</v>
      </c>
      <c r="D43" s="8">
        <v>80302</v>
      </c>
      <c r="E43" s="8">
        <v>210101</v>
      </c>
      <c r="F43" s="32"/>
      <c r="G43" s="32">
        <v>5400818.4199999999</v>
      </c>
      <c r="H43" s="32"/>
      <c r="I43" s="32"/>
      <c r="J43" s="14" t="s">
        <v>147</v>
      </c>
      <c r="K43" s="138" t="s">
        <v>148</v>
      </c>
      <c r="L43" s="13"/>
    </row>
    <row r="44" spans="1:12" ht="25.5">
      <c r="A44" s="18" t="s">
        <v>145</v>
      </c>
      <c r="B44" s="7">
        <v>100110620010</v>
      </c>
      <c r="C44" s="8" t="s">
        <v>149</v>
      </c>
      <c r="D44" s="8">
        <v>80302</v>
      </c>
      <c r="E44" s="8">
        <v>210201</v>
      </c>
      <c r="F44" s="32"/>
      <c r="G44" s="32">
        <v>1637741</v>
      </c>
      <c r="H44" s="32"/>
      <c r="I44" s="32"/>
      <c r="J44" s="14" t="s">
        <v>150</v>
      </c>
      <c r="K44" s="138"/>
      <c r="L44" s="13"/>
    </row>
    <row r="45" spans="1:12">
      <c r="A45" s="112"/>
      <c r="B45" s="112"/>
      <c r="C45" s="112"/>
      <c r="D45" s="112"/>
      <c r="E45" s="112"/>
      <c r="F45" s="79">
        <f>SUM(F43:F44)</f>
        <v>0</v>
      </c>
      <c r="G45" s="79">
        <f>SUM(G43:G44)</f>
        <v>7038559.4199999999</v>
      </c>
      <c r="H45" s="79">
        <f>SUM(H43:H44)</f>
        <v>0</v>
      </c>
      <c r="I45" s="79">
        <f>SUM(I43:I44)</f>
        <v>0</v>
      </c>
      <c r="J45" s="14"/>
      <c r="K45" s="14"/>
      <c r="L45" s="13"/>
    </row>
    <row r="46" spans="1:12">
      <c r="A46" s="18" t="s">
        <v>174</v>
      </c>
      <c r="B46" s="6">
        <v>100110720010</v>
      </c>
      <c r="C46" s="5">
        <v>71602</v>
      </c>
      <c r="D46" s="5">
        <v>81603</v>
      </c>
      <c r="E46" s="5">
        <v>210403</v>
      </c>
      <c r="F46" s="30">
        <v>1273250</v>
      </c>
      <c r="G46" s="30">
        <f t="shared" ref="G46" si="9">I46-F46</f>
        <v>0</v>
      </c>
      <c r="H46" s="30"/>
      <c r="I46" s="30">
        <v>1273250</v>
      </c>
      <c r="J46" s="15"/>
      <c r="K46" s="15"/>
      <c r="L46" s="1" t="s">
        <v>68</v>
      </c>
    </row>
    <row r="47" spans="1:12">
      <c r="A47" s="134" t="s">
        <v>85</v>
      </c>
      <c r="B47" s="134"/>
      <c r="C47" s="134"/>
      <c r="D47" s="134"/>
      <c r="E47" s="134"/>
      <c r="F47" s="33">
        <f>SUM(F46:F46)</f>
        <v>1273250</v>
      </c>
      <c r="G47" s="33">
        <f>SUM(G46:G46)</f>
        <v>0</v>
      </c>
      <c r="H47" s="33"/>
      <c r="I47" s="33">
        <f>SUM(I46:I46)</f>
        <v>1273250</v>
      </c>
      <c r="J47" s="136"/>
      <c r="K47" s="136"/>
      <c r="L47" s="1"/>
    </row>
    <row r="48" spans="1:12" s="90" customFormat="1" ht="12.75">
      <c r="A48" s="96" t="s">
        <v>152</v>
      </c>
      <c r="B48" s="97">
        <v>100111220010</v>
      </c>
      <c r="C48" s="96">
        <v>71602</v>
      </c>
      <c r="D48" s="96">
        <v>210101</v>
      </c>
      <c r="E48" s="96">
        <v>80302</v>
      </c>
      <c r="F48" s="88">
        <v>1291198.3999999999</v>
      </c>
      <c r="G48" s="88">
        <v>19815103.399999999</v>
      </c>
      <c r="H48" s="88">
        <v>19165097</v>
      </c>
      <c r="I48" s="121"/>
      <c r="J48" s="89"/>
      <c r="K48" s="121"/>
    </row>
    <row r="49" spans="1:12" s="90" customFormat="1" ht="13.5" customHeight="1">
      <c r="A49" s="96"/>
      <c r="B49" s="97"/>
      <c r="C49" s="96"/>
      <c r="D49" s="96"/>
      <c r="E49" s="96"/>
      <c r="F49" s="88"/>
      <c r="G49" s="88"/>
      <c r="H49" s="88"/>
      <c r="I49" s="122">
        <f>SUM(I48)</f>
        <v>0</v>
      </c>
      <c r="J49" s="89"/>
      <c r="K49" s="121"/>
    </row>
    <row r="50" spans="1:12">
      <c r="A50" s="16" t="s">
        <v>164</v>
      </c>
      <c r="B50" s="6">
        <v>100110020010</v>
      </c>
      <c r="C50" s="5">
        <v>71602</v>
      </c>
      <c r="D50" s="5">
        <v>80101</v>
      </c>
      <c r="E50" s="5">
        <v>210101</v>
      </c>
      <c r="F50" s="30">
        <v>4469042</v>
      </c>
      <c r="G50" s="30">
        <v>0</v>
      </c>
      <c r="H50" s="30">
        <v>2778002</v>
      </c>
      <c r="I50" s="30">
        <v>1741040</v>
      </c>
      <c r="J50" s="16" t="s">
        <v>165</v>
      </c>
      <c r="K50" s="15"/>
      <c r="L50" s="1" t="s">
        <v>68</v>
      </c>
    </row>
    <row r="51" spans="1:12">
      <c r="A51" s="16" t="s">
        <v>164</v>
      </c>
      <c r="B51" s="6">
        <v>100110020010</v>
      </c>
      <c r="C51" s="5">
        <v>71602</v>
      </c>
      <c r="D51" s="5">
        <v>80101</v>
      </c>
      <c r="E51" s="5">
        <v>210201</v>
      </c>
      <c r="F51" s="30">
        <v>0</v>
      </c>
      <c r="G51" s="30">
        <f t="shared" ref="G51:G52" si="10">I51-F51</f>
        <v>0</v>
      </c>
      <c r="H51" s="30"/>
      <c r="I51" s="30">
        <v>0</v>
      </c>
      <c r="J51" s="16" t="s">
        <v>165</v>
      </c>
      <c r="K51" s="15"/>
      <c r="L51" s="1"/>
    </row>
    <row r="52" spans="1:12">
      <c r="A52" s="16" t="s">
        <v>164</v>
      </c>
      <c r="B52" s="6">
        <v>100110020010</v>
      </c>
      <c r="C52" s="5">
        <v>71602</v>
      </c>
      <c r="D52" s="5">
        <v>80101</v>
      </c>
      <c r="E52" s="5">
        <v>210201</v>
      </c>
      <c r="F52" s="31">
        <v>0</v>
      </c>
      <c r="G52" s="31">
        <f t="shared" si="10"/>
        <v>273694</v>
      </c>
      <c r="H52" s="31"/>
      <c r="I52" s="31">
        <v>273694</v>
      </c>
      <c r="J52" s="16" t="s">
        <v>165</v>
      </c>
      <c r="K52" s="15"/>
      <c r="L52" s="19" t="s">
        <v>83</v>
      </c>
    </row>
    <row r="53" spans="1:12">
      <c r="A53" s="134" t="s">
        <v>93</v>
      </c>
      <c r="B53" s="134"/>
      <c r="C53" s="134"/>
      <c r="D53" s="134"/>
      <c r="E53" s="134"/>
      <c r="F53" s="33">
        <f>SUM(F50:F52)</f>
        <v>4469042</v>
      </c>
      <c r="G53" s="33"/>
      <c r="H53" s="33"/>
      <c r="I53" s="33">
        <f>SUM(I50:I52)</f>
        <v>2014734</v>
      </c>
      <c r="J53" s="135"/>
      <c r="K53" s="135"/>
      <c r="L53" s="1"/>
    </row>
    <row r="54" spans="1:12">
      <c r="A54" s="18" t="s">
        <v>154</v>
      </c>
      <c r="B54" s="6">
        <v>100111420010</v>
      </c>
      <c r="C54" s="5">
        <v>71602</v>
      </c>
      <c r="D54" s="5">
        <v>80302</v>
      </c>
      <c r="E54" s="5">
        <v>210101</v>
      </c>
      <c r="F54" s="31"/>
      <c r="G54" s="31">
        <v>4830127</v>
      </c>
      <c r="H54" s="31">
        <v>4822439</v>
      </c>
      <c r="I54" s="30">
        <f t="shared" ref="I54:I58" si="11">F54+G54-H54</f>
        <v>7688</v>
      </c>
      <c r="J54" s="15"/>
      <c r="K54" s="15"/>
      <c r="L54" s="1"/>
    </row>
    <row r="55" spans="1:12">
      <c r="A55" s="18" t="s">
        <v>154</v>
      </c>
      <c r="B55" s="6">
        <v>100111420010</v>
      </c>
      <c r="C55" s="8">
        <v>71602</v>
      </c>
      <c r="D55" s="8">
        <v>80302</v>
      </c>
      <c r="E55" s="8">
        <v>210501</v>
      </c>
      <c r="F55" s="32">
        <v>1037200</v>
      </c>
      <c r="G55" s="32">
        <v>25072887</v>
      </c>
      <c r="H55" s="32">
        <v>24954165</v>
      </c>
      <c r="I55" s="30">
        <f t="shared" si="11"/>
        <v>1155922</v>
      </c>
      <c r="J55" s="14"/>
      <c r="K55" s="14"/>
      <c r="L55" s="1"/>
    </row>
    <row r="56" spans="1:12">
      <c r="A56" s="18" t="s">
        <v>154</v>
      </c>
      <c r="B56" s="6">
        <v>100111420010</v>
      </c>
      <c r="C56" s="8">
        <v>71602</v>
      </c>
      <c r="D56" s="8">
        <v>80302</v>
      </c>
      <c r="E56" s="8">
        <v>210502</v>
      </c>
      <c r="F56" s="32"/>
      <c r="G56" s="32">
        <v>2438301</v>
      </c>
      <c r="H56" s="32">
        <v>1211901</v>
      </c>
      <c r="I56" s="30">
        <f t="shared" si="11"/>
        <v>1226400</v>
      </c>
      <c r="J56" s="14"/>
      <c r="K56" s="14"/>
      <c r="L56" s="1"/>
    </row>
    <row r="57" spans="1:12">
      <c r="A57" s="18" t="s">
        <v>154</v>
      </c>
      <c r="B57" s="6">
        <v>100111420010</v>
      </c>
      <c r="C57" s="8">
        <v>71602</v>
      </c>
      <c r="D57" s="5">
        <v>80302</v>
      </c>
      <c r="E57" s="4"/>
      <c r="F57" s="32"/>
      <c r="G57" s="32"/>
      <c r="H57" s="32"/>
      <c r="I57" s="30"/>
      <c r="J57" s="29"/>
      <c r="K57" s="14"/>
      <c r="L57" s="1"/>
    </row>
    <row r="58" spans="1:12">
      <c r="A58" s="18" t="s">
        <v>154</v>
      </c>
      <c r="B58" s="6"/>
      <c r="C58" s="5"/>
      <c r="D58" s="5"/>
      <c r="E58" s="5"/>
      <c r="F58" s="30"/>
      <c r="G58" s="30"/>
      <c r="H58" s="30"/>
      <c r="I58" s="30">
        <f t="shared" si="11"/>
        <v>0</v>
      </c>
      <c r="J58" s="9"/>
      <c r="K58" s="73"/>
      <c r="L58" s="1"/>
    </row>
    <row r="59" spans="1:12">
      <c r="A59" s="134" t="s">
        <v>85</v>
      </c>
      <c r="B59" s="134"/>
      <c r="C59" s="134"/>
      <c r="D59" s="134"/>
      <c r="E59" s="134"/>
      <c r="F59" s="33">
        <f>SUM(F54:F58)</f>
        <v>1037200</v>
      </c>
      <c r="G59" s="33">
        <f>SUM(G54:G58)</f>
        <v>32341315</v>
      </c>
      <c r="H59" s="33"/>
      <c r="I59" s="33">
        <f>SUM(I54:I58)</f>
        <v>2390010</v>
      </c>
      <c r="J59" s="136"/>
      <c r="K59" s="136"/>
      <c r="L59" s="1"/>
    </row>
    <row r="60" spans="1:12">
      <c r="A60" s="134" t="s">
        <v>93</v>
      </c>
      <c r="B60" s="134"/>
      <c r="C60" s="134"/>
      <c r="D60" s="134"/>
      <c r="E60" s="134"/>
      <c r="F60" s="33" t="e">
        <f>#REF!+F24+F26+F28+F32+#REF!+#REF!+F45+F53+F59</f>
        <v>#REF!</v>
      </c>
      <c r="G60" s="33" t="e">
        <f>#REF!+G24+G26+G28+G32+#REF!+#REF!+G45+G53+G59</f>
        <v>#REF!</v>
      </c>
      <c r="H60" s="33" t="e">
        <f>#REF!+H24+H26+H28+H32+#REF!+#REF!+H45+H53+H59</f>
        <v>#REF!</v>
      </c>
      <c r="I60" s="33" t="e">
        <f>#REF!+I24+I26+I28+I32+#REF!+#REF!+I45+I53+I59</f>
        <v>#REF!</v>
      </c>
      <c r="J60" s="135"/>
      <c r="K60" s="135"/>
      <c r="L60" s="1"/>
    </row>
    <row r="61" spans="1:12">
      <c r="A61" s="1"/>
      <c r="B61" s="1"/>
      <c r="C61" s="1"/>
      <c r="D61" s="1"/>
      <c r="E61" s="1"/>
      <c r="F61" s="20"/>
      <c r="G61" s="20"/>
      <c r="H61" s="20"/>
      <c r="I61" s="20"/>
      <c r="J61" s="20"/>
      <c r="K61" s="20"/>
      <c r="L61" s="1"/>
    </row>
    <row r="62" spans="1:12">
      <c r="A62" s="1"/>
      <c r="B62" s="1"/>
      <c r="C62" s="1"/>
      <c r="D62" s="1"/>
      <c r="E62" s="1"/>
      <c r="F62" s="20"/>
      <c r="G62" s="20"/>
      <c r="H62" s="20"/>
      <c r="I62" s="20"/>
      <c r="J62" s="20"/>
      <c r="K62" s="20"/>
      <c r="L62" s="1"/>
    </row>
    <row r="63" spans="1:12">
      <c r="A63" s="1"/>
      <c r="B63" s="1"/>
      <c r="C63" s="1"/>
      <c r="D63" s="1"/>
      <c r="E63" s="1"/>
      <c r="F63" s="20"/>
      <c r="G63" s="20"/>
      <c r="H63" s="20"/>
      <c r="I63" s="20"/>
      <c r="J63" s="20"/>
      <c r="K63" s="20"/>
      <c r="L63" s="1"/>
    </row>
    <row r="64" spans="1:12">
      <c r="A64" s="1"/>
      <c r="B64" s="1"/>
      <c r="C64" s="1"/>
      <c r="D64" s="1"/>
      <c r="E64" s="1"/>
      <c r="F64" s="20"/>
      <c r="G64" s="20"/>
      <c r="H64" s="20"/>
      <c r="I64" s="20"/>
      <c r="J64" s="20"/>
      <c r="K64" s="20"/>
      <c r="L64" s="1"/>
    </row>
    <row r="65" spans="1:36">
      <c r="A65" s="1"/>
      <c r="B65" s="1"/>
      <c r="C65" s="1"/>
      <c r="D65" s="1"/>
      <c r="E65" s="1"/>
      <c r="F65" s="20"/>
      <c r="G65" s="20"/>
      <c r="H65" s="20"/>
      <c r="I65" s="20"/>
      <c r="J65" s="20"/>
      <c r="K65" s="20"/>
      <c r="L65" s="1"/>
    </row>
    <row r="66" spans="1:36">
      <c r="A66" s="1"/>
      <c r="B66" s="1"/>
      <c r="C66" s="1"/>
      <c r="D66" s="1"/>
      <c r="E66" s="1"/>
      <c r="F66" s="20"/>
      <c r="G66" s="20"/>
      <c r="H66" s="20"/>
      <c r="I66" s="20"/>
      <c r="J66" s="20"/>
      <c r="K66" s="20"/>
      <c r="L66" s="1"/>
    </row>
    <row r="67" spans="1:36">
      <c r="A67" s="1"/>
      <c r="B67" s="1"/>
      <c r="C67" s="1"/>
      <c r="D67" s="1"/>
      <c r="E67" s="1"/>
      <c r="F67" s="20"/>
      <c r="G67" s="20"/>
      <c r="H67" s="20"/>
      <c r="I67" s="20"/>
      <c r="J67" s="20"/>
      <c r="K67" s="20"/>
      <c r="L67" s="1"/>
    </row>
    <row r="68" spans="1:36">
      <c r="A68" s="1"/>
      <c r="B68" s="1"/>
      <c r="C68" s="1"/>
      <c r="D68" s="1"/>
      <c r="E68" s="1"/>
      <c r="F68" s="20"/>
      <c r="G68" s="20"/>
      <c r="H68" s="20"/>
      <c r="I68" s="20"/>
      <c r="J68" s="20"/>
      <c r="K68" s="20"/>
      <c r="L68" s="1"/>
    </row>
    <row r="69" spans="1:36">
      <c r="A69" s="1"/>
      <c r="B69" s="1"/>
      <c r="C69" s="1"/>
      <c r="D69" s="1"/>
      <c r="E69" s="1"/>
      <c r="F69" s="20"/>
      <c r="G69" s="20"/>
      <c r="H69" s="20"/>
      <c r="I69" s="20"/>
      <c r="J69" s="20"/>
      <c r="K69" s="20"/>
      <c r="L69" s="1"/>
    </row>
    <row r="70" spans="1:36">
      <c r="A70" s="1"/>
      <c r="B70" s="1"/>
      <c r="C70" s="1"/>
      <c r="D70" s="1"/>
      <c r="E70" s="1"/>
      <c r="F70" s="20"/>
      <c r="G70" s="20"/>
      <c r="H70" s="20"/>
      <c r="I70" s="20"/>
      <c r="J70" s="20"/>
      <c r="K70" s="20"/>
      <c r="L70" s="1"/>
    </row>
    <row r="71" spans="1:36">
      <c r="A71" s="1"/>
      <c r="B71" s="1"/>
      <c r="C71" s="1"/>
      <c r="D71" s="1"/>
      <c r="E71" s="1"/>
      <c r="F71" s="20"/>
      <c r="G71" s="20"/>
      <c r="H71" s="20"/>
      <c r="I71" s="20"/>
      <c r="J71" s="20"/>
      <c r="K71" s="20"/>
      <c r="L71" s="1"/>
    </row>
    <row r="72" spans="1:36">
      <c r="A72" s="1"/>
      <c r="B72" s="1"/>
      <c r="C72" s="1"/>
      <c r="D72" s="1"/>
      <c r="E72" s="1"/>
      <c r="F72" s="20"/>
      <c r="G72" s="20"/>
      <c r="H72" s="20"/>
      <c r="I72" s="20"/>
      <c r="J72" s="20"/>
      <c r="K72" s="20"/>
      <c r="L72" s="1"/>
    </row>
    <row r="73" spans="1:36">
      <c r="A73" s="1"/>
      <c r="B73" s="1"/>
      <c r="C73" s="1"/>
      <c r="D73" s="1"/>
      <c r="E73" s="1"/>
      <c r="F73" s="20"/>
      <c r="G73" s="20"/>
      <c r="H73" s="20"/>
      <c r="I73" s="20"/>
      <c r="J73" s="20"/>
      <c r="K73" s="20"/>
      <c r="L73" s="1"/>
    </row>
    <row r="74" spans="1:36">
      <c r="A74" s="1"/>
      <c r="B74" s="1"/>
      <c r="C74" s="1"/>
      <c r="D74" s="1"/>
      <c r="E74" s="1"/>
      <c r="F74" s="20"/>
      <c r="G74" s="20"/>
      <c r="H74" s="20"/>
      <c r="I74" s="20"/>
      <c r="J74" s="20"/>
      <c r="K74" s="20"/>
      <c r="L74" s="1"/>
    </row>
    <row r="75" spans="1:36">
      <c r="A75" s="1"/>
      <c r="B75" s="1"/>
      <c r="C75" s="1"/>
      <c r="D75" s="1"/>
      <c r="E75" s="1"/>
      <c r="F75" s="20"/>
      <c r="G75" s="20"/>
      <c r="H75" s="20"/>
      <c r="I75" s="20"/>
      <c r="J75" s="20"/>
      <c r="K75" s="20"/>
      <c r="L75" s="1"/>
    </row>
    <row r="76" spans="1:36">
      <c r="A76" s="1"/>
      <c r="B76" s="1"/>
      <c r="C76" s="1"/>
      <c r="D76" s="1"/>
      <c r="E76" s="1" t="s">
        <v>94</v>
      </c>
      <c r="F76" s="20"/>
      <c r="G76" s="20"/>
      <c r="H76" s="20"/>
      <c r="I76" s="20"/>
      <c r="J76" s="20"/>
      <c r="K76" s="20"/>
      <c r="L76" s="1"/>
    </row>
    <row r="77" spans="1:36" s="35" customFormat="1" ht="14.25">
      <c r="A77" s="36"/>
      <c r="B77" s="124" t="s">
        <v>139</v>
      </c>
      <c r="C77" s="124"/>
      <c r="D77" s="124"/>
      <c r="E77" s="124"/>
      <c r="F77" s="124"/>
      <c r="G77" s="124"/>
      <c r="H77" s="36"/>
      <c r="N77" s="36"/>
      <c r="T77" s="36"/>
      <c r="X77" s="36"/>
      <c r="AD77" s="36"/>
      <c r="AH77" s="36"/>
      <c r="AJ77" s="36"/>
    </row>
    <row r="78" spans="1:36">
      <c r="A78" s="133" t="s">
        <v>95</v>
      </c>
      <c r="B78" s="133"/>
      <c r="C78" s="133"/>
      <c r="D78" s="133"/>
      <c r="E78" s="133"/>
      <c r="F78" s="133"/>
      <c r="G78" s="133"/>
      <c r="H78" s="133"/>
      <c r="I78" s="133"/>
      <c r="J78" s="72"/>
      <c r="K78" s="72"/>
      <c r="L78" s="1"/>
    </row>
    <row r="79" spans="1:36">
      <c r="A79" s="1"/>
      <c r="B79" s="1"/>
      <c r="C79" s="1"/>
      <c r="D79" s="1"/>
      <c r="E79" s="1"/>
      <c r="F79" s="2"/>
      <c r="G79" s="1"/>
      <c r="H79" s="1"/>
      <c r="I79" s="1"/>
      <c r="J79" s="1"/>
      <c r="K79" s="1"/>
      <c r="L79" s="1"/>
    </row>
    <row r="80" spans="1:36">
      <c r="A80" s="1"/>
      <c r="B80" s="1"/>
      <c r="C80" s="1"/>
      <c r="D80" s="1"/>
      <c r="E80" s="1"/>
      <c r="F80" s="20"/>
      <c r="G80" s="20"/>
      <c r="H80" s="20"/>
      <c r="I80" s="20"/>
      <c r="J80" s="20"/>
      <c r="K80" s="20"/>
      <c r="L80" s="1"/>
    </row>
  </sheetData>
  <mergeCells count="21">
    <mergeCell ref="A10:E10"/>
    <mergeCell ref="J10:K10"/>
    <mergeCell ref="A28:E28"/>
    <mergeCell ref="B77:G77"/>
    <mergeCell ref="K43:K44"/>
    <mergeCell ref="A24:E24"/>
    <mergeCell ref="K11:K12"/>
    <mergeCell ref="A21:E21"/>
    <mergeCell ref="A38:E38"/>
    <mergeCell ref="J38:K38"/>
    <mergeCell ref="J21:K21"/>
    <mergeCell ref="A42:E42"/>
    <mergeCell ref="A47:E47"/>
    <mergeCell ref="J47:K47"/>
    <mergeCell ref="A78:I78"/>
    <mergeCell ref="A60:E60"/>
    <mergeCell ref="J60:K60"/>
    <mergeCell ref="A53:E53"/>
    <mergeCell ref="J53:K53"/>
    <mergeCell ref="A59:E59"/>
    <mergeCell ref="J59:K59"/>
  </mergeCells>
  <pageMargins left="0.7" right="0.7" top="0.75" bottom="0.75" header="0.3" footer="0.3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4"/>
  <sheetViews>
    <sheetView topLeftCell="A52" zoomScaleNormal="100" workbookViewId="0">
      <selection activeCell="I83" sqref="I83"/>
    </sheetView>
  </sheetViews>
  <sheetFormatPr defaultColWidth="9.140625" defaultRowHeight="12.75"/>
  <cols>
    <col min="1" max="1" width="11.5703125" style="13" customWidth="1"/>
    <col min="2" max="2" width="14.7109375" style="13" customWidth="1"/>
    <col min="3" max="3" width="9.140625" style="13"/>
    <col min="4" max="4" width="9.5703125" style="13" customWidth="1"/>
    <col min="5" max="5" width="9.140625" style="13"/>
    <col min="6" max="6" width="12" style="27" bestFit="1" customWidth="1"/>
    <col min="7" max="8" width="18.7109375" style="27" customWidth="1"/>
    <col min="9" max="9" width="13.5703125" style="27" bestFit="1" customWidth="1"/>
    <col min="10" max="10" width="40.85546875" style="27" customWidth="1"/>
    <col min="11" max="16384" width="9.140625" style="13"/>
  </cols>
  <sheetData>
    <row r="1" spans="1:11" s="1" customFormat="1">
      <c r="A1" s="140" t="s">
        <v>151</v>
      </c>
      <c r="B1" s="140"/>
      <c r="C1" s="140"/>
      <c r="D1" s="140"/>
      <c r="E1" s="140"/>
      <c r="F1" s="140"/>
      <c r="G1" s="140"/>
      <c r="H1" s="140"/>
      <c r="I1" s="140"/>
      <c r="J1" s="140"/>
    </row>
    <row r="3" spans="1:11" ht="54" customHeight="1">
      <c r="A3" s="22" t="s">
        <v>78</v>
      </c>
      <c r="B3" s="23" t="s">
        <v>59</v>
      </c>
      <c r="C3" s="22" t="s">
        <v>79</v>
      </c>
      <c r="D3" s="22" t="s">
        <v>80</v>
      </c>
      <c r="E3" s="22" t="s">
        <v>81</v>
      </c>
      <c r="F3" s="12" t="s">
        <v>108</v>
      </c>
      <c r="G3" s="70" t="s">
        <v>127</v>
      </c>
      <c r="H3" s="70" t="s">
        <v>128</v>
      </c>
      <c r="I3" s="12" t="s">
        <v>111</v>
      </c>
      <c r="J3" s="12" t="s">
        <v>61</v>
      </c>
    </row>
    <row r="4" spans="1:11" ht="13.5" customHeight="1">
      <c r="A4" s="24" t="s">
        <v>82</v>
      </c>
      <c r="B4" s="6">
        <v>100110020001</v>
      </c>
      <c r="C4" s="25">
        <v>71603</v>
      </c>
      <c r="D4" s="25">
        <v>80101</v>
      </c>
      <c r="E4" s="25">
        <v>210101</v>
      </c>
      <c r="F4" s="11">
        <v>0</v>
      </c>
      <c r="G4" s="11">
        <f>I4-F4</f>
        <v>0</v>
      </c>
      <c r="H4" s="11"/>
      <c r="I4" s="11">
        <v>0</v>
      </c>
      <c r="J4" s="12"/>
      <c r="K4" s="13" t="s">
        <v>68</v>
      </c>
    </row>
    <row r="5" spans="1:11" ht="13.5" customHeight="1">
      <c r="A5" s="24" t="s">
        <v>82</v>
      </c>
      <c r="B5" s="6">
        <v>100110020001</v>
      </c>
      <c r="C5" s="25">
        <v>71603</v>
      </c>
      <c r="D5" s="25">
        <v>80101</v>
      </c>
      <c r="E5" s="25">
        <v>210104</v>
      </c>
      <c r="F5" s="11"/>
      <c r="G5" s="11">
        <f t="shared" ref="G5:G68" si="0">I5-F5</f>
        <v>0</v>
      </c>
      <c r="H5" s="11"/>
      <c r="I5" s="11"/>
      <c r="J5" s="12"/>
      <c r="K5" s="13" t="s">
        <v>12</v>
      </c>
    </row>
    <row r="6" spans="1:11" ht="13.5" customHeight="1">
      <c r="A6" s="24" t="s">
        <v>82</v>
      </c>
      <c r="B6" s="6">
        <v>100110020001</v>
      </c>
      <c r="C6" s="25">
        <v>71603</v>
      </c>
      <c r="D6" s="25">
        <v>80101</v>
      </c>
      <c r="E6" s="25">
        <v>210201</v>
      </c>
      <c r="F6" s="11">
        <v>0</v>
      </c>
      <c r="G6" s="11">
        <f t="shared" si="0"/>
        <v>0</v>
      </c>
      <c r="H6" s="11"/>
      <c r="I6" s="11">
        <v>0</v>
      </c>
      <c r="J6" s="12"/>
      <c r="K6" s="13" t="s">
        <v>83</v>
      </c>
    </row>
    <row r="7" spans="1:11" ht="13.5" customHeight="1">
      <c r="A7" s="24" t="s">
        <v>82</v>
      </c>
      <c r="B7" s="6">
        <v>100110020001</v>
      </c>
      <c r="C7" s="25">
        <v>71603</v>
      </c>
      <c r="D7" s="25">
        <v>80101</v>
      </c>
      <c r="E7" s="25">
        <v>210301</v>
      </c>
      <c r="F7" s="11"/>
      <c r="G7" s="11">
        <f t="shared" si="0"/>
        <v>0</v>
      </c>
      <c r="H7" s="11"/>
      <c r="I7" s="11"/>
      <c r="J7" s="12"/>
      <c r="K7" s="13" t="s">
        <v>96</v>
      </c>
    </row>
    <row r="8" spans="1:11" ht="13.5" customHeight="1">
      <c r="A8" s="24" t="s">
        <v>82</v>
      </c>
      <c r="B8" s="6">
        <v>100110020001</v>
      </c>
      <c r="C8" s="25">
        <v>71603</v>
      </c>
      <c r="D8" s="25">
        <v>80101</v>
      </c>
      <c r="E8" s="25">
        <v>210302</v>
      </c>
      <c r="F8" s="11"/>
      <c r="G8" s="11">
        <f t="shared" si="0"/>
        <v>0</v>
      </c>
      <c r="H8" s="11"/>
      <c r="I8" s="11"/>
      <c r="J8" s="12"/>
      <c r="K8" s="13" t="s">
        <v>97</v>
      </c>
    </row>
    <row r="9" spans="1:11" ht="13.5" customHeight="1">
      <c r="A9" s="24" t="s">
        <v>82</v>
      </c>
      <c r="B9" s="6">
        <v>100110020001</v>
      </c>
      <c r="C9" s="25">
        <v>71603</v>
      </c>
      <c r="D9" s="25">
        <v>80101</v>
      </c>
      <c r="E9" s="25">
        <v>210303</v>
      </c>
      <c r="F9" s="11"/>
      <c r="G9" s="11">
        <f t="shared" si="0"/>
        <v>0</v>
      </c>
      <c r="H9" s="11"/>
      <c r="I9" s="11"/>
      <c r="J9" s="12"/>
      <c r="K9" s="13" t="s">
        <v>98</v>
      </c>
    </row>
    <row r="10" spans="1:11" ht="13.5" customHeight="1">
      <c r="A10" s="24" t="s">
        <v>82</v>
      </c>
      <c r="B10" s="6">
        <v>100110020001</v>
      </c>
      <c r="C10" s="25">
        <v>71603</v>
      </c>
      <c r="D10" s="25">
        <v>80101</v>
      </c>
      <c r="E10" s="25">
        <v>210401</v>
      </c>
      <c r="F10" s="11"/>
      <c r="G10" s="11">
        <f t="shared" si="0"/>
        <v>0</v>
      </c>
      <c r="H10" s="11"/>
      <c r="I10" s="11"/>
      <c r="J10" s="12"/>
      <c r="K10" s="13" t="s">
        <v>24</v>
      </c>
    </row>
    <row r="11" spans="1:11" ht="13.5" customHeight="1">
      <c r="A11" s="24" t="s">
        <v>82</v>
      </c>
      <c r="B11" s="6">
        <v>100110020001</v>
      </c>
      <c r="C11" s="25">
        <v>71603</v>
      </c>
      <c r="D11" s="25">
        <v>80101</v>
      </c>
      <c r="E11" s="25">
        <v>210402</v>
      </c>
      <c r="F11" s="11"/>
      <c r="G11" s="11">
        <f t="shared" si="0"/>
        <v>0</v>
      </c>
      <c r="H11" s="11"/>
      <c r="I11" s="11"/>
      <c r="J11" s="12"/>
      <c r="K11" s="13" t="s">
        <v>84</v>
      </c>
    </row>
    <row r="12" spans="1:11" ht="13.5" customHeight="1">
      <c r="A12" s="24" t="s">
        <v>82</v>
      </c>
      <c r="B12" s="6">
        <v>100110020001</v>
      </c>
      <c r="C12" s="25">
        <v>71603</v>
      </c>
      <c r="D12" s="25">
        <v>80101</v>
      </c>
      <c r="E12" s="25">
        <v>210403</v>
      </c>
      <c r="F12" s="11"/>
      <c r="G12" s="11">
        <f t="shared" si="0"/>
        <v>0</v>
      </c>
      <c r="H12" s="11"/>
      <c r="I12" s="11"/>
      <c r="J12" s="12"/>
      <c r="K12" s="13" t="s">
        <v>86</v>
      </c>
    </row>
    <row r="13" spans="1:11" ht="13.5" customHeight="1">
      <c r="A13" s="24" t="s">
        <v>82</v>
      </c>
      <c r="B13" s="6">
        <v>100110020001</v>
      </c>
      <c r="C13" s="25">
        <v>71603</v>
      </c>
      <c r="D13" s="25">
        <v>80101</v>
      </c>
      <c r="E13" s="25">
        <v>210405</v>
      </c>
      <c r="F13" s="11"/>
      <c r="G13" s="11">
        <f t="shared" si="0"/>
        <v>0</v>
      </c>
      <c r="H13" s="11"/>
      <c r="I13" s="11"/>
      <c r="J13" s="12"/>
      <c r="K13" s="13" t="s">
        <v>87</v>
      </c>
    </row>
    <row r="14" spans="1:11" ht="13.5" customHeight="1">
      <c r="A14" s="24" t="s">
        <v>82</v>
      </c>
      <c r="B14" s="6">
        <v>100110020001</v>
      </c>
      <c r="C14" s="25">
        <v>71603</v>
      </c>
      <c r="D14" s="25">
        <v>80101</v>
      </c>
      <c r="E14" s="25">
        <v>210406</v>
      </c>
      <c r="F14" s="11"/>
      <c r="G14" s="11">
        <f t="shared" si="0"/>
        <v>0</v>
      </c>
      <c r="H14" s="11"/>
      <c r="I14" s="11"/>
      <c r="J14" s="12"/>
      <c r="K14" s="13" t="s">
        <v>88</v>
      </c>
    </row>
    <row r="15" spans="1:11" ht="13.5" customHeight="1">
      <c r="A15" s="24" t="s">
        <v>82</v>
      </c>
      <c r="B15" s="6">
        <v>100110020001</v>
      </c>
      <c r="C15" s="25">
        <v>71603</v>
      </c>
      <c r="D15" s="25">
        <v>80101</v>
      </c>
      <c r="E15" s="25">
        <v>210501</v>
      </c>
      <c r="F15" s="11"/>
      <c r="G15" s="11">
        <f t="shared" si="0"/>
        <v>0</v>
      </c>
      <c r="H15" s="11"/>
      <c r="I15" s="11"/>
      <c r="J15" s="12"/>
      <c r="K15" s="13" t="s">
        <v>89</v>
      </c>
    </row>
    <row r="16" spans="1:11" ht="13.5" customHeight="1">
      <c r="A16" s="24" t="s">
        <v>82</v>
      </c>
      <c r="B16" s="6">
        <v>100110020001</v>
      </c>
      <c r="C16" s="25">
        <v>71603</v>
      </c>
      <c r="D16" s="25">
        <v>80101</v>
      </c>
      <c r="E16" s="25">
        <v>210502</v>
      </c>
      <c r="F16" s="11"/>
      <c r="G16" s="11">
        <f t="shared" si="0"/>
        <v>0</v>
      </c>
      <c r="H16" s="11"/>
      <c r="I16" s="11"/>
      <c r="J16" s="12"/>
      <c r="K16" s="13" t="s">
        <v>31</v>
      </c>
    </row>
    <row r="17" spans="1:11" ht="13.5" customHeight="1">
      <c r="A17" s="24" t="s">
        <v>82</v>
      </c>
      <c r="B17" s="6">
        <v>100110020001</v>
      </c>
      <c r="C17" s="25">
        <v>71603</v>
      </c>
      <c r="D17" s="25">
        <v>80101</v>
      </c>
      <c r="E17" s="25">
        <v>210503</v>
      </c>
      <c r="F17" s="11"/>
      <c r="G17" s="11">
        <f t="shared" si="0"/>
        <v>0</v>
      </c>
      <c r="H17" s="11"/>
      <c r="I17" s="11"/>
      <c r="J17" s="12"/>
      <c r="K17" s="13" t="s">
        <v>99</v>
      </c>
    </row>
    <row r="18" spans="1:11" ht="13.5" customHeight="1">
      <c r="A18" s="24" t="s">
        <v>82</v>
      </c>
      <c r="B18" s="6">
        <v>100110020001</v>
      </c>
      <c r="C18" s="25">
        <v>71603</v>
      </c>
      <c r="D18" s="25">
        <v>80101</v>
      </c>
      <c r="E18" s="25">
        <v>210601</v>
      </c>
      <c r="F18" s="11"/>
      <c r="G18" s="11">
        <f t="shared" si="0"/>
        <v>0</v>
      </c>
      <c r="H18" s="11"/>
      <c r="I18" s="11"/>
      <c r="J18" s="12"/>
      <c r="K18" s="13" t="s">
        <v>100</v>
      </c>
    </row>
    <row r="19" spans="1:11" ht="13.5" customHeight="1">
      <c r="A19" s="24" t="s">
        <v>82</v>
      </c>
      <c r="B19" s="6">
        <v>100110020001</v>
      </c>
      <c r="C19" s="25">
        <v>71603</v>
      </c>
      <c r="D19" s="25">
        <v>80101</v>
      </c>
      <c r="E19" s="25">
        <v>210604</v>
      </c>
      <c r="F19" s="11"/>
      <c r="G19" s="11">
        <f t="shared" si="0"/>
        <v>0</v>
      </c>
      <c r="H19" s="11"/>
      <c r="I19" s="11"/>
      <c r="J19" s="12"/>
      <c r="K19" s="13" t="s">
        <v>37</v>
      </c>
    </row>
    <row r="20" spans="1:11" ht="13.5" customHeight="1">
      <c r="A20" s="24" t="s">
        <v>82</v>
      </c>
      <c r="B20" s="6">
        <v>100110020001</v>
      </c>
      <c r="C20" s="25">
        <v>71603</v>
      </c>
      <c r="D20" s="25">
        <v>80101</v>
      </c>
      <c r="E20" s="25">
        <v>210702</v>
      </c>
      <c r="F20" s="11"/>
      <c r="G20" s="11">
        <f t="shared" si="0"/>
        <v>0</v>
      </c>
      <c r="H20" s="11"/>
      <c r="I20" s="11"/>
      <c r="J20" s="12"/>
      <c r="K20" s="13" t="s">
        <v>92</v>
      </c>
    </row>
    <row r="21" spans="1:11" ht="13.5" customHeight="1">
      <c r="A21" s="24" t="s">
        <v>82</v>
      </c>
      <c r="B21" s="6">
        <v>100110020001</v>
      </c>
      <c r="C21" s="25">
        <v>71603</v>
      </c>
      <c r="D21" s="25">
        <v>80101</v>
      </c>
      <c r="E21" s="25">
        <v>210802</v>
      </c>
      <c r="F21" s="11"/>
      <c r="G21" s="11">
        <f t="shared" si="0"/>
        <v>0</v>
      </c>
      <c r="H21" s="11"/>
      <c r="I21" s="11"/>
      <c r="J21" s="12"/>
      <c r="K21" s="13" t="s">
        <v>101</v>
      </c>
    </row>
    <row r="22" spans="1:11" ht="13.5" customHeight="1">
      <c r="A22" s="24" t="s">
        <v>82</v>
      </c>
      <c r="B22" s="6">
        <v>100110020001</v>
      </c>
      <c r="C22" s="25">
        <v>71603</v>
      </c>
      <c r="D22" s="25">
        <v>80101</v>
      </c>
      <c r="E22" s="25">
        <v>210803</v>
      </c>
      <c r="F22" s="11"/>
      <c r="G22" s="11">
        <f t="shared" si="0"/>
        <v>0</v>
      </c>
      <c r="H22" s="11"/>
      <c r="I22" s="11"/>
      <c r="J22" s="12"/>
      <c r="K22" s="13" t="s">
        <v>42</v>
      </c>
    </row>
    <row r="23" spans="1:11" ht="13.5" customHeight="1">
      <c r="A23" s="24" t="s">
        <v>82</v>
      </c>
      <c r="B23" s="6">
        <v>100110020001</v>
      </c>
      <c r="C23" s="25">
        <v>71603</v>
      </c>
      <c r="D23" s="25">
        <v>80101</v>
      </c>
      <c r="E23" s="25">
        <v>210804</v>
      </c>
      <c r="F23" s="11"/>
      <c r="G23" s="11">
        <f t="shared" si="0"/>
        <v>0</v>
      </c>
      <c r="H23" s="11"/>
      <c r="I23" s="11"/>
      <c r="J23" s="12"/>
      <c r="K23" s="13" t="s">
        <v>102</v>
      </c>
    </row>
    <row r="24" spans="1:11" ht="13.5" customHeight="1">
      <c r="A24" s="24" t="s">
        <v>82</v>
      </c>
      <c r="B24" s="6">
        <v>100110020001</v>
      </c>
      <c r="C24" s="25">
        <v>71603</v>
      </c>
      <c r="D24" s="25">
        <v>80101</v>
      </c>
      <c r="E24" s="25">
        <v>210805</v>
      </c>
      <c r="F24" s="11"/>
      <c r="G24" s="11">
        <f t="shared" si="0"/>
        <v>0</v>
      </c>
      <c r="H24" s="11"/>
      <c r="I24" s="11"/>
      <c r="J24" s="12"/>
      <c r="K24" s="13" t="s">
        <v>44</v>
      </c>
    </row>
    <row r="25" spans="1:11" ht="13.5" customHeight="1">
      <c r="A25" s="24" t="s">
        <v>82</v>
      </c>
      <c r="B25" s="6">
        <v>100110020001</v>
      </c>
      <c r="C25" s="25">
        <v>71603</v>
      </c>
      <c r="D25" s="25">
        <v>80101</v>
      </c>
      <c r="E25" s="25">
        <v>210806</v>
      </c>
      <c r="F25" s="11"/>
      <c r="G25" s="11">
        <f t="shared" si="0"/>
        <v>0</v>
      </c>
      <c r="H25" s="11"/>
      <c r="I25" s="11"/>
      <c r="J25" s="12"/>
    </row>
    <row r="26" spans="1:11" ht="13.5" customHeight="1">
      <c r="A26" s="24" t="s">
        <v>82</v>
      </c>
      <c r="B26" s="6">
        <v>100110020001</v>
      </c>
      <c r="C26" s="25">
        <v>71603</v>
      </c>
      <c r="D26" s="25">
        <v>80101</v>
      </c>
      <c r="E26" s="25">
        <v>210807</v>
      </c>
      <c r="F26" s="11"/>
      <c r="G26" s="11">
        <f t="shared" si="0"/>
        <v>0</v>
      </c>
      <c r="H26" s="11"/>
      <c r="I26" s="11"/>
      <c r="J26" s="12"/>
      <c r="K26" s="13" t="s">
        <v>46</v>
      </c>
    </row>
    <row r="27" spans="1:11" ht="13.5" customHeight="1">
      <c r="A27" s="24" t="s">
        <v>82</v>
      </c>
      <c r="B27" s="6">
        <v>100110020001</v>
      </c>
      <c r="C27" s="25">
        <v>71603</v>
      </c>
      <c r="D27" s="25">
        <v>80101</v>
      </c>
      <c r="E27" s="25">
        <v>210808</v>
      </c>
      <c r="F27" s="11"/>
      <c r="G27" s="11">
        <f t="shared" si="0"/>
        <v>0</v>
      </c>
      <c r="H27" s="11"/>
      <c r="I27" s="11"/>
      <c r="J27" s="12"/>
      <c r="K27" s="13" t="s">
        <v>90</v>
      </c>
    </row>
    <row r="28" spans="1:11" ht="13.5" customHeight="1">
      <c r="A28" s="24" t="s">
        <v>82</v>
      </c>
      <c r="B28" s="6">
        <v>100110020401</v>
      </c>
      <c r="C28" s="25">
        <v>71603</v>
      </c>
      <c r="D28" s="25">
        <v>83112</v>
      </c>
      <c r="E28" s="25">
        <v>210901</v>
      </c>
      <c r="F28" s="11">
        <v>19864075</v>
      </c>
      <c r="G28" s="11">
        <f t="shared" si="0"/>
        <v>-6862641.4900000002</v>
      </c>
      <c r="H28" s="11"/>
      <c r="I28" s="11">
        <v>13001433.51</v>
      </c>
      <c r="J28" s="12"/>
      <c r="K28" s="13" t="s">
        <v>60</v>
      </c>
    </row>
    <row r="29" spans="1:11" ht="13.5" customHeight="1">
      <c r="A29" s="139" t="s">
        <v>85</v>
      </c>
      <c r="B29" s="139"/>
      <c r="C29" s="139"/>
      <c r="D29" s="139"/>
      <c r="E29" s="139"/>
      <c r="F29" s="34">
        <f>SUM(F4:F28)</f>
        <v>19864075</v>
      </c>
      <c r="G29" s="34">
        <f>I29-F29</f>
        <v>-6862641.4900000002</v>
      </c>
      <c r="H29" s="34"/>
      <c r="I29" s="34">
        <f>SUM(I4:I28)</f>
        <v>13001433.51</v>
      </c>
      <c r="J29" s="12"/>
    </row>
    <row r="30" spans="1:11" ht="13.5" customHeight="1">
      <c r="A30" s="18" t="s">
        <v>74</v>
      </c>
      <c r="B30" s="3">
        <v>100110020002</v>
      </c>
      <c r="C30" s="25">
        <v>71602</v>
      </c>
      <c r="D30" s="25">
        <v>80101</v>
      </c>
      <c r="E30" s="25">
        <v>210101</v>
      </c>
      <c r="F30" s="11"/>
      <c r="G30" s="11">
        <f t="shared" si="0"/>
        <v>0</v>
      </c>
      <c r="H30" s="11"/>
      <c r="I30" s="11"/>
      <c r="J30" s="12"/>
      <c r="K30" s="13" t="s">
        <v>68</v>
      </c>
    </row>
    <row r="31" spans="1:11" ht="13.5" customHeight="1">
      <c r="A31" s="18" t="s">
        <v>74</v>
      </c>
      <c r="B31" s="3">
        <v>100110020002</v>
      </c>
      <c r="C31" s="25">
        <v>71602</v>
      </c>
      <c r="D31" s="25">
        <v>80101</v>
      </c>
      <c r="E31" s="25">
        <v>210104</v>
      </c>
      <c r="F31" s="11"/>
      <c r="G31" s="11">
        <f t="shared" si="0"/>
        <v>0</v>
      </c>
      <c r="H31" s="11"/>
      <c r="I31" s="11"/>
      <c r="J31" s="12"/>
      <c r="K31" s="13" t="s">
        <v>12</v>
      </c>
    </row>
    <row r="32" spans="1:11" ht="13.5" customHeight="1">
      <c r="A32" s="18" t="s">
        <v>74</v>
      </c>
      <c r="B32" s="3">
        <v>100110020002</v>
      </c>
      <c r="C32" s="25">
        <v>71602</v>
      </c>
      <c r="D32" s="25">
        <v>80101</v>
      </c>
      <c r="E32" s="25">
        <v>210201</v>
      </c>
      <c r="F32" s="11"/>
      <c r="G32" s="11">
        <f t="shared" si="0"/>
        <v>0</v>
      </c>
      <c r="H32" s="11"/>
      <c r="I32" s="11"/>
      <c r="J32" s="12"/>
      <c r="K32" s="13" t="s">
        <v>83</v>
      </c>
    </row>
    <row r="33" spans="1:11" ht="13.5" customHeight="1">
      <c r="A33" s="18" t="s">
        <v>74</v>
      </c>
      <c r="B33" s="3">
        <v>100110020002</v>
      </c>
      <c r="C33" s="25">
        <v>71602</v>
      </c>
      <c r="D33" s="25">
        <v>80101</v>
      </c>
      <c r="E33" s="25">
        <v>210301</v>
      </c>
      <c r="F33" s="11"/>
      <c r="G33" s="11">
        <f t="shared" si="0"/>
        <v>0</v>
      </c>
      <c r="H33" s="11"/>
      <c r="I33" s="11"/>
      <c r="J33" s="12"/>
      <c r="K33" s="13" t="s">
        <v>96</v>
      </c>
    </row>
    <row r="34" spans="1:11" ht="13.5" customHeight="1">
      <c r="A34" s="18" t="s">
        <v>74</v>
      </c>
      <c r="B34" s="3">
        <v>100110020002</v>
      </c>
      <c r="C34" s="25">
        <v>71602</v>
      </c>
      <c r="D34" s="25">
        <v>80101</v>
      </c>
      <c r="E34" s="25">
        <v>210302</v>
      </c>
      <c r="F34" s="11"/>
      <c r="G34" s="11">
        <f t="shared" si="0"/>
        <v>0</v>
      </c>
      <c r="H34" s="11"/>
      <c r="I34" s="11"/>
      <c r="J34" s="12"/>
      <c r="K34" s="13" t="s">
        <v>97</v>
      </c>
    </row>
    <row r="35" spans="1:11" ht="13.5" customHeight="1">
      <c r="A35" s="18" t="s">
        <v>74</v>
      </c>
      <c r="B35" s="3">
        <v>100110020002</v>
      </c>
      <c r="C35" s="25">
        <v>71602</v>
      </c>
      <c r="D35" s="25">
        <v>80101</v>
      </c>
      <c r="E35" s="25">
        <v>210303</v>
      </c>
      <c r="F35" s="11"/>
      <c r="G35" s="11">
        <f t="shared" si="0"/>
        <v>0</v>
      </c>
      <c r="H35" s="11"/>
      <c r="I35" s="11"/>
      <c r="J35" s="12"/>
      <c r="K35" s="13" t="s">
        <v>98</v>
      </c>
    </row>
    <row r="36" spans="1:11" ht="13.5" customHeight="1">
      <c r="A36" s="18" t="s">
        <v>74</v>
      </c>
      <c r="B36" s="3">
        <v>100110020002</v>
      </c>
      <c r="C36" s="25">
        <v>71602</v>
      </c>
      <c r="D36" s="25">
        <v>80101</v>
      </c>
      <c r="E36" s="25">
        <v>210401</v>
      </c>
      <c r="F36" s="11"/>
      <c r="G36" s="11">
        <f t="shared" si="0"/>
        <v>0</v>
      </c>
      <c r="H36" s="11"/>
      <c r="I36" s="11"/>
      <c r="J36" s="12"/>
      <c r="K36" s="13" t="s">
        <v>24</v>
      </c>
    </row>
    <row r="37" spans="1:11" ht="13.5" customHeight="1">
      <c r="A37" s="18" t="s">
        <v>74</v>
      </c>
      <c r="B37" s="3">
        <v>100110020002</v>
      </c>
      <c r="C37" s="25">
        <v>71602</v>
      </c>
      <c r="D37" s="25">
        <v>80101</v>
      </c>
      <c r="E37" s="25">
        <v>210402</v>
      </c>
      <c r="F37" s="11"/>
      <c r="G37" s="11">
        <f t="shared" si="0"/>
        <v>0</v>
      </c>
      <c r="H37" s="11"/>
      <c r="I37" s="11"/>
      <c r="J37" s="12"/>
      <c r="K37" s="13" t="s">
        <v>84</v>
      </c>
    </row>
    <row r="38" spans="1:11" ht="13.5" customHeight="1">
      <c r="A38" s="18" t="s">
        <v>74</v>
      </c>
      <c r="B38" s="3">
        <v>100110020002</v>
      </c>
      <c r="C38" s="25">
        <v>71602</v>
      </c>
      <c r="D38" s="25">
        <v>80101</v>
      </c>
      <c r="E38" s="25">
        <v>210403</v>
      </c>
      <c r="F38" s="11"/>
      <c r="G38" s="11">
        <f t="shared" si="0"/>
        <v>0</v>
      </c>
      <c r="H38" s="11"/>
      <c r="I38" s="11"/>
      <c r="J38" s="12"/>
      <c r="K38" s="13" t="s">
        <v>86</v>
      </c>
    </row>
    <row r="39" spans="1:11" ht="13.5" customHeight="1">
      <c r="A39" s="18" t="s">
        <v>74</v>
      </c>
      <c r="B39" s="3">
        <v>100110020002</v>
      </c>
      <c r="C39" s="25">
        <v>71602</v>
      </c>
      <c r="D39" s="25">
        <v>80101</v>
      </c>
      <c r="E39" s="25">
        <v>210405</v>
      </c>
      <c r="F39" s="11"/>
      <c r="G39" s="11">
        <f t="shared" si="0"/>
        <v>0</v>
      </c>
      <c r="H39" s="11"/>
      <c r="I39" s="11"/>
      <c r="J39" s="12"/>
      <c r="K39" s="13" t="s">
        <v>87</v>
      </c>
    </row>
    <row r="40" spans="1:11" ht="13.5" customHeight="1">
      <c r="A40" s="18" t="s">
        <v>74</v>
      </c>
      <c r="B40" s="3">
        <v>100110020002</v>
      </c>
      <c r="C40" s="25">
        <v>71602</v>
      </c>
      <c r="D40" s="25">
        <v>80101</v>
      </c>
      <c r="E40" s="25">
        <v>210406</v>
      </c>
      <c r="F40" s="11"/>
      <c r="G40" s="11">
        <f t="shared" si="0"/>
        <v>0</v>
      </c>
      <c r="H40" s="11"/>
      <c r="I40" s="11"/>
      <c r="J40" s="12"/>
      <c r="K40" s="13" t="s">
        <v>88</v>
      </c>
    </row>
    <row r="41" spans="1:11" ht="13.5" customHeight="1">
      <c r="A41" s="18" t="s">
        <v>74</v>
      </c>
      <c r="B41" s="3">
        <v>100110020002</v>
      </c>
      <c r="C41" s="25">
        <v>71602</v>
      </c>
      <c r="D41" s="25">
        <v>80101</v>
      </c>
      <c r="E41" s="25">
        <v>210501</v>
      </c>
      <c r="F41" s="11"/>
      <c r="G41" s="11">
        <f t="shared" si="0"/>
        <v>0</v>
      </c>
      <c r="H41" s="11"/>
      <c r="I41" s="11"/>
      <c r="J41" s="12"/>
      <c r="K41" s="13" t="s">
        <v>89</v>
      </c>
    </row>
    <row r="42" spans="1:11" ht="13.5" customHeight="1">
      <c r="A42" s="18" t="s">
        <v>74</v>
      </c>
      <c r="B42" s="3">
        <v>100110020002</v>
      </c>
      <c r="C42" s="25">
        <v>71602</v>
      </c>
      <c r="D42" s="25">
        <v>80101</v>
      </c>
      <c r="E42" s="25">
        <v>210502</v>
      </c>
      <c r="F42" s="11"/>
      <c r="G42" s="11">
        <f t="shared" si="0"/>
        <v>0</v>
      </c>
      <c r="H42" s="11"/>
      <c r="I42" s="11"/>
      <c r="J42" s="12"/>
      <c r="K42" s="13" t="s">
        <v>31</v>
      </c>
    </row>
    <row r="43" spans="1:11" ht="13.5" customHeight="1">
      <c r="A43" s="18" t="s">
        <v>74</v>
      </c>
      <c r="B43" s="3">
        <v>100110020002</v>
      </c>
      <c r="C43" s="25">
        <v>71602</v>
      </c>
      <c r="D43" s="25">
        <v>80101</v>
      </c>
      <c r="E43" s="25">
        <v>210503</v>
      </c>
      <c r="F43" s="11"/>
      <c r="G43" s="11">
        <f t="shared" si="0"/>
        <v>0</v>
      </c>
      <c r="H43" s="11"/>
      <c r="I43" s="11"/>
      <c r="J43" s="12"/>
      <c r="K43" s="13" t="s">
        <v>99</v>
      </c>
    </row>
    <row r="44" spans="1:11" ht="13.5" customHeight="1">
      <c r="A44" s="18" t="s">
        <v>74</v>
      </c>
      <c r="B44" s="3">
        <v>100110020002</v>
      </c>
      <c r="C44" s="25">
        <v>71602</v>
      </c>
      <c r="D44" s="25">
        <v>80101</v>
      </c>
      <c r="E44" s="25">
        <v>210601</v>
      </c>
      <c r="F44" s="11"/>
      <c r="G44" s="11">
        <f t="shared" si="0"/>
        <v>0</v>
      </c>
      <c r="H44" s="11"/>
      <c r="I44" s="11"/>
      <c r="J44" s="12"/>
      <c r="K44" s="13" t="s">
        <v>100</v>
      </c>
    </row>
    <row r="45" spans="1:11" ht="13.5" customHeight="1">
      <c r="A45" s="18" t="s">
        <v>74</v>
      </c>
      <c r="B45" s="3">
        <v>100110020002</v>
      </c>
      <c r="C45" s="25">
        <v>71602</v>
      </c>
      <c r="D45" s="25">
        <v>80101</v>
      </c>
      <c r="E45" s="25">
        <v>210604</v>
      </c>
      <c r="F45" s="11"/>
      <c r="G45" s="11">
        <f t="shared" si="0"/>
        <v>0</v>
      </c>
      <c r="H45" s="11"/>
      <c r="I45" s="11"/>
      <c r="J45" s="12"/>
      <c r="K45" s="13" t="s">
        <v>37</v>
      </c>
    </row>
    <row r="46" spans="1:11" ht="13.5" customHeight="1">
      <c r="A46" s="18" t="s">
        <v>74</v>
      </c>
      <c r="B46" s="3">
        <v>100110020002</v>
      </c>
      <c r="C46" s="25">
        <v>71602</v>
      </c>
      <c r="D46" s="25">
        <v>80101</v>
      </c>
      <c r="E46" s="25">
        <v>210702</v>
      </c>
      <c r="F46" s="11"/>
      <c r="G46" s="11">
        <f t="shared" si="0"/>
        <v>0</v>
      </c>
      <c r="H46" s="11"/>
      <c r="I46" s="11"/>
      <c r="J46" s="12"/>
      <c r="K46" s="13" t="s">
        <v>92</v>
      </c>
    </row>
    <row r="47" spans="1:11" ht="13.5" customHeight="1">
      <c r="A47" s="18" t="s">
        <v>74</v>
      </c>
      <c r="B47" s="3">
        <v>100110020002</v>
      </c>
      <c r="C47" s="25">
        <v>71602</v>
      </c>
      <c r="D47" s="25">
        <v>80101</v>
      </c>
      <c r="E47" s="25">
        <v>210802</v>
      </c>
      <c r="F47" s="11"/>
      <c r="G47" s="11">
        <f t="shared" si="0"/>
        <v>0</v>
      </c>
      <c r="H47" s="11"/>
      <c r="I47" s="11"/>
      <c r="J47" s="12"/>
      <c r="K47" s="13" t="s">
        <v>101</v>
      </c>
    </row>
    <row r="48" spans="1:11" ht="13.5" customHeight="1">
      <c r="A48" s="18" t="s">
        <v>74</v>
      </c>
      <c r="B48" s="3">
        <v>100110020002</v>
      </c>
      <c r="C48" s="25">
        <v>71602</v>
      </c>
      <c r="D48" s="25">
        <v>80101</v>
      </c>
      <c r="E48" s="25">
        <v>210803</v>
      </c>
      <c r="F48" s="11"/>
      <c r="G48" s="11">
        <f t="shared" si="0"/>
        <v>0</v>
      </c>
      <c r="H48" s="11"/>
      <c r="I48" s="11"/>
      <c r="J48" s="12"/>
      <c r="K48" s="13" t="s">
        <v>42</v>
      </c>
    </row>
    <row r="49" spans="1:11" ht="13.5" customHeight="1">
      <c r="A49" s="18" t="s">
        <v>74</v>
      </c>
      <c r="B49" s="3">
        <v>100110020002</v>
      </c>
      <c r="C49" s="25">
        <v>71602</v>
      </c>
      <c r="D49" s="25">
        <v>80101</v>
      </c>
      <c r="E49" s="25">
        <v>210804</v>
      </c>
      <c r="F49" s="11"/>
      <c r="G49" s="11">
        <f t="shared" si="0"/>
        <v>0</v>
      </c>
      <c r="H49" s="11"/>
      <c r="I49" s="11"/>
      <c r="J49" s="12"/>
      <c r="K49" s="13" t="s">
        <v>102</v>
      </c>
    </row>
    <row r="50" spans="1:11" ht="13.5" customHeight="1">
      <c r="A50" s="18" t="s">
        <v>74</v>
      </c>
      <c r="B50" s="3">
        <v>100110020002</v>
      </c>
      <c r="C50" s="25">
        <v>71602</v>
      </c>
      <c r="D50" s="25">
        <v>80101</v>
      </c>
      <c r="E50" s="25">
        <v>210805</v>
      </c>
      <c r="F50" s="11"/>
      <c r="G50" s="11">
        <f t="shared" si="0"/>
        <v>0</v>
      </c>
      <c r="H50" s="11"/>
      <c r="I50" s="11"/>
      <c r="J50" s="12"/>
      <c r="K50" s="13" t="s">
        <v>44</v>
      </c>
    </row>
    <row r="51" spans="1:11" ht="13.5" customHeight="1">
      <c r="A51" s="18" t="s">
        <v>74</v>
      </c>
      <c r="B51" s="3">
        <v>100110020002</v>
      </c>
      <c r="C51" s="25">
        <v>71602</v>
      </c>
      <c r="D51" s="25">
        <v>80101</v>
      </c>
      <c r="E51" s="25">
        <v>210806</v>
      </c>
      <c r="F51" s="11"/>
      <c r="G51" s="11">
        <f t="shared" si="0"/>
        <v>0</v>
      </c>
      <c r="H51" s="11"/>
      <c r="I51" s="11"/>
      <c r="J51" s="12"/>
    </row>
    <row r="52" spans="1:11" ht="13.5" customHeight="1">
      <c r="A52" s="18" t="s">
        <v>74</v>
      </c>
      <c r="B52" s="3">
        <v>100110020002</v>
      </c>
      <c r="C52" s="25">
        <v>71602</v>
      </c>
      <c r="D52" s="25">
        <v>80101</v>
      </c>
      <c r="E52" s="25">
        <v>210807</v>
      </c>
      <c r="F52" s="11"/>
      <c r="G52" s="11">
        <f t="shared" si="0"/>
        <v>0</v>
      </c>
      <c r="H52" s="11"/>
      <c r="I52" s="11"/>
      <c r="J52" s="12"/>
      <c r="K52" s="13" t="s">
        <v>46</v>
      </c>
    </row>
    <row r="53" spans="1:11" ht="13.5" customHeight="1">
      <c r="A53" s="18" t="s">
        <v>74</v>
      </c>
      <c r="B53" s="3">
        <v>100110020002</v>
      </c>
      <c r="C53" s="25">
        <v>71602</v>
      </c>
      <c r="D53" s="25">
        <v>80101</v>
      </c>
      <c r="E53" s="25">
        <v>210808</v>
      </c>
      <c r="F53" s="11"/>
      <c r="G53" s="11">
        <f t="shared" si="0"/>
        <v>0</v>
      </c>
      <c r="H53" s="11"/>
      <c r="I53" s="11"/>
      <c r="J53" s="12"/>
      <c r="K53" s="13" t="s">
        <v>90</v>
      </c>
    </row>
    <row r="54" spans="1:11" ht="13.5" customHeight="1">
      <c r="A54" s="18" t="s">
        <v>74</v>
      </c>
      <c r="B54" s="3">
        <v>100110020002</v>
      </c>
      <c r="C54" s="25">
        <v>71602</v>
      </c>
      <c r="D54" s="25">
        <v>83112</v>
      </c>
      <c r="E54" s="25">
        <v>210901</v>
      </c>
      <c r="F54" s="11"/>
      <c r="G54" s="11">
        <f t="shared" si="0"/>
        <v>0</v>
      </c>
      <c r="H54" s="11"/>
      <c r="I54" s="11">
        <v>0</v>
      </c>
      <c r="J54" s="12"/>
      <c r="K54" s="13" t="s">
        <v>60</v>
      </c>
    </row>
    <row r="55" spans="1:11" ht="13.5" customHeight="1">
      <c r="A55" s="139" t="s">
        <v>85</v>
      </c>
      <c r="B55" s="139"/>
      <c r="C55" s="139"/>
      <c r="D55" s="139"/>
      <c r="E55" s="139"/>
      <c r="F55" s="26">
        <f>SUM(F30:F54)</f>
        <v>0</v>
      </c>
      <c r="G55" s="26">
        <f t="shared" si="0"/>
        <v>0</v>
      </c>
      <c r="H55" s="26"/>
      <c r="I55" s="26">
        <f>SUM(I30:I54)</f>
        <v>0</v>
      </c>
      <c r="J55" s="12"/>
    </row>
    <row r="56" spans="1:11" ht="13.5" customHeight="1">
      <c r="A56" s="24" t="s">
        <v>91</v>
      </c>
      <c r="B56" s="7">
        <v>100110020403</v>
      </c>
      <c r="C56" s="25">
        <v>71601</v>
      </c>
      <c r="D56" s="25">
        <v>80101</v>
      </c>
      <c r="E56" s="25">
        <v>210101</v>
      </c>
      <c r="F56" s="11">
        <v>0</v>
      </c>
      <c r="G56" s="11">
        <f t="shared" si="0"/>
        <v>0</v>
      </c>
      <c r="H56" s="11"/>
      <c r="I56" s="11">
        <v>0</v>
      </c>
      <c r="J56" s="12"/>
      <c r="K56" s="13" t="s">
        <v>68</v>
      </c>
    </row>
    <row r="57" spans="1:11" ht="13.5" customHeight="1">
      <c r="A57" s="24" t="s">
        <v>91</v>
      </c>
      <c r="B57" s="7">
        <v>100110020005</v>
      </c>
      <c r="C57" s="25">
        <v>71601</v>
      </c>
      <c r="D57" s="25">
        <v>80101</v>
      </c>
      <c r="E57" s="25">
        <v>210104</v>
      </c>
      <c r="F57" s="11"/>
      <c r="G57" s="11">
        <f t="shared" si="0"/>
        <v>0</v>
      </c>
      <c r="H57" s="11"/>
      <c r="I57" s="11"/>
      <c r="J57" s="12"/>
      <c r="K57" s="13" t="s">
        <v>12</v>
      </c>
    </row>
    <row r="58" spans="1:11" ht="13.5" customHeight="1">
      <c r="A58" s="24" t="s">
        <v>91</v>
      </c>
      <c r="B58" s="7">
        <v>100110020005</v>
      </c>
      <c r="C58" s="25">
        <v>71601</v>
      </c>
      <c r="D58" s="25">
        <v>80101</v>
      </c>
      <c r="E58" s="25">
        <v>210201</v>
      </c>
      <c r="F58" s="11"/>
      <c r="G58" s="11">
        <f t="shared" si="0"/>
        <v>0</v>
      </c>
      <c r="H58" s="11"/>
      <c r="I58" s="11"/>
      <c r="J58" s="12"/>
      <c r="K58" s="13" t="s">
        <v>83</v>
      </c>
    </row>
    <row r="59" spans="1:11" ht="13.5" customHeight="1">
      <c r="A59" s="24" t="s">
        <v>91</v>
      </c>
      <c r="B59" s="7">
        <v>100110020005</v>
      </c>
      <c r="C59" s="25">
        <v>71601</v>
      </c>
      <c r="D59" s="25">
        <v>80101</v>
      </c>
      <c r="E59" s="25">
        <v>210301</v>
      </c>
      <c r="F59" s="11"/>
      <c r="G59" s="11">
        <f t="shared" si="0"/>
        <v>0</v>
      </c>
      <c r="H59" s="11"/>
      <c r="I59" s="11"/>
      <c r="J59" s="12"/>
      <c r="K59" s="13" t="s">
        <v>96</v>
      </c>
    </row>
    <row r="60" spans="1:11" ht="13.5" customHeight="1">
      <c r="A60" s="24" t="s">
        <v>91</v>
      </c>
      <c r="B60" s="7">
        <v>100110020005</v>
      </c>
      <c r="C60" s="25">
        <v>71601</v>
      </c>
      <c r="D60" s="25">
        <v>80101</v>
      </c>
      <c r="E60" s="25">
        <v>210302</v>
      </c>
      <c r="F60" s="11"/>
      <c r="G60" s="11">
        <f t="shared" si="0"/>
        <v>0</v>
      </c>
      <c r="H60" s="11"/>
      <c r="I60" s="11"/>
      <c r="J60" s="12"/>
      <c r="K60" s="13" t="s">
        <v>97</v>
      </c>
    </row>
    <row r="61" spans="1:11" ht="13.5" customHeight="1">
      <c r="A61" s="24" t="s">
        <v>91</v>
      </c>
      <c r="B61" s="7">
        <v>100110020005</v>
      </c>
      <c r="C61" s="25">
        <v>71601</v>
      </c>
      <c r="D61" s="25">
        <v>80101</v>
      </c>
      <c r="E61" s="25">
        <v>210303</v>
      </c>
      <c r="F61" s="11"/>
      <c r="G61" s="11">
        <f t="shared" si="0"/>
        <v>0</v>
      </c>
      <c r="H61" s="11"/>
      <c r="I61" s="11"/>
      <c r="J61" s="12"/>
      <c r="K61" s="13" t="s">
        <v>98</v>
      </c>
    </row>
    <row r="62" spans="1:11" ht="13.5" customHeight="1">
      <c r="A62" s="24" t="s">
        <v>91</v>
      </c>
      <c r="B62" s="7">
        <v>100110020005</v>
      </c>
      <c r="C62" s="25">
        <v>71601</v>
      </c>
      <c r="D62" s="25">
        <v>80101</v>
      </c>
      <c r="E62" s="25">
        <v>210401</v>
      </c>
      <c r="F62" s="11"/>
      <c r="G62" s="11">
        <f t="shared" si="0"/>
        <v>0</v>
      </c>
      <c r="H62" s="11"/>
      <c r="I62" s="11"/>
      <c r="J62" s="12"/>
      <c r="K62" s="13" t="s">
        <v>24</v>
      </c>
    </row>
    <row r="63" spans="1:11" ht="13.5" customHeight="1">
      <c r="A63" s="24" t="s">
        <v>91</v>
      </c>
      <c r="B63" s="7">
        <v>100110020005</v>
      </c>
      <c r="C63" s="25">
        <v>71601</v>
      </c>
      <c r="D63" s="25">
        <v>80101</v>
      </c>
      <c r="E63" s="25">
        <v>210402</v>
      </c>
      <c r="F63" s="11"/>
      <c r="G63" s="11">
        <f t="shared" si="0"/>
        <v>0</v>
      </c>
      <c r="H63" s="11"/>
      <c r="I63" s="11"/>
      <c r="J63" s="12"/>
      <c r="K63" s="13" t="s">
        <v>84</v>
      </c>
    </row>
    <row r="64" spans="1:11" ht="13.5" customHeight="1">
      <c r="A64" s="24" t="s">
        <v>91</v>
      </c>
      <c r="B64" s="7">
        <v>100110020005</v>
      </c>
      <c r="C64" s="25">
        <v>71601</v>
      </c>
      <c r="D64" s="25">
        <v>80101</v>
      </c>
      <c r="E64" s="25">
        <v>210403</v>
      </c>
      <c r="F64" s="11"/>
      <c r="G64" s="11">
        <f t="shared" si="0"/>
        <v>0</v>
      </c>
      <c r="H64" s="11"/>
      <c r="I64" s="11"/>
      <c r="J64" s="12"/>
      <c r="K64" s="13" t="s">
        <v>86</v>
      </c>
    </row>
    <row r="65" spans="1:11" ht="13.5" customHeight="1">
      <c r="A65" s="24" t="s">
        <v>91</v>
      </c>
      <c r="B65" s="7">
        <v>100110020005</v>
      </c>
      <c r="C65" s="25">
        <v>71601</v>
      </c>
      <c r="D65" s="25">
        <v>80101</v>
      </c>
      <c r="E65" s="25">
        <v>210405</v>
      </c>
      <c r="F65" s="11"/>
      <c r="G65" s="11">
        <f t="shared" si="0"/>
        <v>0</v>
      </c>
      <c r="H65" s="11"/>
      <c r="I65" s="11"/>
      <c r="J65" s="12"/>
      <c r="K65" s="13" t="s">
        <v>87</v>
      </c>
    </row>
    <row r="66" spans="1:11" ht="13.5" customHeight="1">
      <c r="A66" s="24" t="s">
        <v>91</v>
      </c>
      <c r="B66" s="7">
        <v>100110020005</v>
      </c>
      <c r="C66" s="25">
        <v>71601</v>
      </c>
      <c r="D66" s="25">
        <v>80101</v>
      </c>
      <c r="E66" s="25">
        <v>210406</v>
      </c>
      <c r="F66" s="11"/>
      <c r="G66" s="11">
        <f t="shared" si="0"/>
        <v>0</v>
      </c>
      <c r="H66" s="11"/>
      <c r="I66" s="11"/>
      <c r="J66" s="12"/>
      <c r="K66" s="13" t="s">
        <v>88</v>
      </c>
    </row>
    <row r="67" spans="1:11" ht="13.5" customHeight="1">
      <c r="A67" s="24" t="s">
        <v>91</v>
      </c>
      <c r="B67" s="7">
        <v>100110020005</v>
      </c>
      <c r="C67" s="25">
        <v>71601</v>
      </c>
      <c r="D67" s="25">
        <v>80101</v>
      </c>
      <c r="E67" s="25">
        <v>210501</v>
      </c>
      <c r="F67" s="11"/>
      <c r="G67" s="11">
        <f t="shared" si="0"/>
        <v>0</v>
      </c>
      <c r="H67" s="11"/>
      <c r="I67" s="11"/>
      <c r="J67" s="12"/>
      <c r="K67" s="13" t="s">
        <v>89</v>
      </c>
    </row>
    <row r="68" spans="1:11" ht="13.5" customHeight="1">
      <c r="A68" s="24" t="s">
        <v>91</v>
      </c>
      <c r="B68" s="7">
        <v>100110020005</v>
      </c>
      <c r="C68" s="25">
        <v>71601</v>
      </c>
      <c r="D68" s="25">
        <v>80101</v>
      </c>
      <c r="E68" s="25">
        <v>210502</v>
      </c>
      <c r="F68" s="11"/>
      <c r="G68" s="11">
        <f t="shared" si="0"/>
        <v>0</v>
      </c>
      <c r="H68" s="11"/>
      <c r="I68" s="11"/>
      <c r="J68" s="12"/>
      <c r="K68" s="13" t="s">
        <v>31</v>
      </c>
    </row>
    <row r="69" spans="1:11" ht="13.5" customHeight="1">
      <c r="A69" s="24" t="s">
        <v>91</v>
      </c>
      <c r="B69" s="7">
        <v>100110020005</v>
      </c>
      <c r="C69" s="25">
        <v>71601</v>
      </c>
      <c r="D69" s="25">
        <v>80101</v>
      </c>
      <c r="E69" s="25">
        <v>210503</v>
      </c>
      <c r="F69" s="11"/>
      <c r="G69" s="11">
        <f t="shared" ref="G69:G80" si="1">I69-F69</f>
        <v>0</v>
      </c>
      <c r="H69" s="11"/>
      <c r="I69" s="11"/>
      <c r="J69" s="12"/>
      <c r="K69" s="13" t="s">
        <v>99</v>
      </c>
    </row>
    <row r="70" spans="1:11" ht="13.5" customHeight="1">
      <c r="A70" s="24" t="s">
        <v>91</v>
      </c>
      <c r="B70" s="7">
        <v>100110020005</v>
      </c>
      <c r="C70" s="25">
        <v>71601</v>
      </c>
      <c r="D70" s="25">
        <v>80101</v>
      </c>
      <c r="E70" s="25">
        <v>210601</v>
      </c>
      <c r="F70" s="11"/>
      <c r="G70" s="11">
        <f t="shared" si="1"/>
        <v>0</v>
      </c>
      <c r="H70" s="11"/>
      <c r="I70" s="11"/>
      <c r="J70" s="12"/>
      <c r="K70" s="13" t="s">
        <v>100</v>
      </c>
    </row>
    <row r="71" spans="1:11" ht="13.5" customHeight="1">
      <c r="A71" s="24" t="s">
        <v>91</v>
      </c>
      <c r="B71" s="7">
        <v>100110020005</v>
      </c>
      <c r="C71" s="25">
        <v>71601</v>
      </c>
      <c r="D71" s="25">
        <v>80101</v>
      </c>
      <c r="E71" s="25">
        <v>210604</v>
      </c>
      <c r="F71" s="11"/>
      <c r="G71" s="11">
        <f t="shared" si="1"/>
        <v>0</v>
      </c>
      <c r="H71" s="11"/>
      <c r="I71" s="11"/>
      <c r="J71" s="12"/>
      <c r="K71" s="13" t="s">
        <v>37</v>
      </c>
    </row>
    <row r="72" spans="1:11" ht="13.5" customHeight="1">
      <c r="A72" s="24" t="s">
        <v>91</v>
      </c>
      <c r="B72" s="7">
        <v>100110020005</v>
      </c>
      <c r="C72" s="25">
        <v>71601</v>
      </c>
      <c r="D72" s="25">
        <v>80101</v>
      </c>
      <c r="E72" s="25">
        <v>210702</v>
      </c>
      <c r="F72" s="11"/>
      <c r="G72" s="11">
        <f t="shared" si="1"/>
        <v>0</v>
      </c>
      <c r="H72" s="11"/>
      <c r="I72" s="11"/>
      <c r="J72" s="12"/>
      <c r="K72" s="13" t="s">
        <v>92</v>
      </c>
    </row>
    <row r="73" spans="1:11" ht="13.5" customHeight="1">
      <c r="A73" s="24" t="s">
        <v>91</v>
      </c>
      <c r="B73" s="7">
        <v>100110020005</v>
      </c>
      <c r="C73" s="25">
        <v>71601</v>
      </c>
      <c r="D73" s="25">
        <v>80101</v>
      </c>
      <c r="E73" s="25">
        <v>210802</v>
      </c>
      <c r="F73" s="11"/>
      <c r="G73" s="11">
        <f t="shared" si="1"/>
        <v>0</v>
      </c>
      <c r="H73" s="11"/>
      <c r="I73" s="11"/>
      <c r="J73" s="12"/>
      <c r="K73" s="13" t="s">
        <v>101</v>
      </c>
    </row>
    <row r="74" spans="1:11" ht="13.5" customHeight="1">
      <c r="A74" s="24" t="s">
        <v>91</v>
      </c>
      <c r="B74" s="7">
        <v>100110020005</v>
      </c>
      <c r="C74" s="25">
        <v>71601</v>
      </c>
      <c r="D74" s="25">
        <v>80101</v>
      </c>
      <c r="E74" s="25">
        <v>210803</v>
      </c>
      <c r="F74" s="11"/>
      <c r="G74" s="11">
        <f t="shared" si="1"/>
        <v>0</v>
      </c>
      <c r="H74" s="11"/>
      <c r="I74" s="11"/>
      <c r="J74" s="12"/>
      <c r="K74" s="13" t="s">
        <v>42</v>
      </c>
    </row>
    <row r="75" spans="1:11" ht="13.5" customHeight="1">
      <c r="A75" s="24" t="s">
        <v>91</v>
      </c>
      <c r="B75" s="7">
        <v>100110020005</v>
      </c>
      <c r="C75" s="25">
        <v>71601</v>
      </c>
      <c r="D75" s="25">
        <v>80101</v>
      </c>
      <c r="E75" s="25">
        <v>210804</v>
      </c>
      <c r="F75" s="11"/>
      <c r="G75" s="11">
        <f t="shared" si="1"/>
        <v>0</v>
      </c>
      <c r="H75" s="11"/>
      <c r="I75" s="11"/>
      <c r="J75" s="12"/>
      <c r="K75" s="13" t="s">
        <v>102</v>
      </c>
    </row>
    <row r="76" spans="1:11" ht="13.5" customHeight="1">
      <c r="A76" s="24" t="s">
        <v>91</v>
      </c>
      <c r="B76" s="7">
        <v>100110020005</v>
      </c>
      <c r="C76" s="25">
        <v>71601</v>
      </c>
      <c r="D76" s="25">
        <v>80101</v>
      </c>
      <c r="E76" s="25">
        <v>210805</v>
      </c>
      <c r="F76" s="11"/>
      <c r="G76" s="11">
        <f t="shared" si="1"/>
        <v>0</v>
      </c>
      <c r="H76" s="11"/>
      <c r="I76" s="11"/>
      <c r="J76" s="12"/>
      <c r="K76" s="13" t="s">
        <v>44</v>
      </c>
    </row>
    <row r="77" spans="1:11" ht="13.5" customHeight="1">
      <c r="A77" s="24" t="s">
        <v>91</v>
      </c>
      <c r="B77" s="7">
        <v>100110020403</v>
      </c>
      <c r="C77" s="25">
        <v>71601</v>
      </c>
      <c r="D77" s="25">
        <v>80101</v>
      </c>
      <c r="E77" s="25">
        <v>210806</v>
      </c>
      <c r="F77" s="11"/>
      <c r="G77" s="11">
        <f t="shared" si="1"/>
        <v>0</v>
      </c>
      <c r="H77" s="11"/>
      <c r="I77" s="11"/>
      <c r="J77" s="12"/>
    </row>
    <row r="78" spans="1:11" ht="13.5" customHeight="1">
      <c r="A78" s="24" t="s">
        <v>91</v>
      </c>
      <c r="B78" s="7">
        <v>100110020005</v>
      </c>
      <c r="C78" s="25">
        <v>71601</v>
      </c>
      <c r="D78" s="25">
        <v>80101</v>
      </c>
      <c r="E78" s="25">
        <v>210807</v>
      </c>
      <c r="F78" s="11"/>
      <c r="G78" s="11">
        <f t="shared" si="1"/>
        <v>0</v>
      </c>
      <c r="H78" s="11"/>
      <c r="I78" s="11"/>
      <c r="J78" s="12"/>
      <c r="K78" s="13" t="s">
        <v>46</v>
      </c>
    </row>
    <row r="79" spans="1:11" ht="13.5" customHeight="1">
      <c r="A79" s="24" t="s">
        <v>91</v>
      </c>
      <c r="B79" s="7">
        <v>100110020005</v>
      </c>
      <c r="C79" s="25">
        <v>71601</v>
      </c>
      <c r="D79" s="25">
        <v>80101</v>
      </c>
      <c r="E79" s="25">
        <v>210808</v>
      </c>
      <c r="F79" s="11"/>
      <c r="G79" s="11">
        <f t="shared" si="1"/>
        <v>0</v>
      </c>
      <c r="H79" s="11"/>
      <c r="I79" s="11"/>
      <c r="J79" s="12"/>
      <c r="K79" s="13" t="s">
        <v>90</v>
      </c>
    </row>
    <row r="80" spans="1:11" ht="13.5" customHeight="1">
      <c r="A80" s="24" t="s">
        <v>91</v>
      </c>
      <c r="B80" s="7">
        <v>100110020403</v>
      </c>
      <c r="C80" s="25">
        <v>71601</v>
      </c>
      <c r="D80" s="25">
        <v>83112</v>
      </c>
      <c r="E80" s="25">
        <v>210901</v>
      </c>
      <c r="F80" s="11">
        <v>181884780</v>
      </c>
      <c r="G80" s="11">
        <f t="shared" si="1"/>
        <v>-33442220</v>
      </c>
      <c r="H80" s="11"/>
      <c r="I80" s="11">
        <v>148442560</v>
      </c>
      <c r="J80" s="12"/>
      <c r="K80" s="13" t="s">
        <v>60</v>
      </c>
    </row>
    <row r="81" spans="1:36" ht="13.5" customHeight="1">
      <c r="A81" s="141" t="s">
        <v>85</v>
      </c>
      <c r="B81" s="142"/>
      <c r="C81" s="142"/>
      <c r="D81" s="142"/>
      <c r="E81" s="143"/>
      <c r="F81" s="26">
        <f t="shared" ref="F81:G81" si="2">SUM(F56:F80)</f>
        <v>181884780</v>
      </c>
      <c r="G81" s="26">
        <f t="shared" si="2"/>
        <v>-33442220</v>
      </c>
      <c r="H81" s="26"/>
      <c r="I81" s="26">
        <f>SUM(I56:I80)</f>
        <v>148442560</v>
      </c>
      <c r="J81" s="12"/>
    </row>
    <row r="82" spans="1:36" s="90" customFormat="1" ht="13.5" customHeight="1">
      <c r="A82" s="86" t="s">
        <v>142</v>
      </c>
      <c r="B82" s="85">
        <v>100111220010</v>
      </c>
      <c r="C82" s="84">
        <v>71602</v>
      </c>
      <c r="D82" s="84">
        <v>81603</v>
      </c>
      <c r="E82" s="87">
        <v>210101</v>
      </c>
      <c r="F82" s="88"/>
      <c r="G82" s="88">
        <v>1141198.3999999999</v>
      </c>
      <c r="H82" s="88"/>
      <c r="I82" s="88">
        <v>650000</v>
      </c>
      <c r="J82" s="89"/>
    </row>
    <row r="83" spans="1:36" ht="13.5" customHeight="1">
      <c r="A83" s="81"/>
      <c r="B83" s="82"/>
      <c r="C83" s="82"/>
      <c r="D83" s="82"/>
      <c r="E83" s="83"/>
      <c r="F83" s="26"/>
      <c r="G83" s="26"/>
      <c r="H83" s="26"/>
      <c r="I83" s="26">
        <f>SUM(I82)</f>
        <v>650000</v>
      </c>
      <c r="J83" s="12"/>
    </row>
    <row r="84" spans="1:36" ht="25.5">
      <c r="A84" s="18" t="s">
        <v>154</v>
      </c>
      <c r="B84" s="6">
        <v>100111420001</v>
      </c>
      <c r="C84" s="5">
        <v>71602</v>
      </c>
      <c r="D84" s="5">
        <v>80111</v>
      </c>
      <c r="E84" s="5">
        <v>210301</v>
      </c>
      <c r="F84" s="11">
        <v>0</v>
      </c>
      <c r="G84" s="11">
        <v>3414000</v>
      </c>
      <c r="H84" s="11"/>
      <c r="I84" s="11">
        <f>F84+G84-H84</f>
        <v>3414000</v>
      </c>
      <c r="J84" s="12"/>
    </row>
    <row r="85" spans="1:36" ht="25.5">
      <c r="A85" s="18" t="s">
        <v>154</v>
      </c>
      <c r="B85" s="6">
        <v>100111420001</v>
      </c>
      <c r="C85" s="5">
        <v>71602</v>
      </c>
      <c r="D85" s="5">
        <v>80111</v>
      </c>
      <c r="E85" s="5">
        <v>210201</v>
      </c>
      <c r="F85" s="11"/>
      <c r="G85" s="11">
        <v>12600</v>
      </c>
      <c r="H85" s="11"/>
      <c r="I85" s="11">
        <f>F85+G85-H85</f>
        <v>12600</v>
      </c>
      <c r="J85" s="12"/>
    </row>
    <row r="86" spans="1:36" ht="13.5" customHeight="1">
      <c r="A86" s="81"/>
      <c r="B86" s="82"/>
      <c r="C86" s="82"/>
      <c r="D86" s="82"/>
      <c r="E86" s="83"/>
      <c r="F86" s="26">
        <f t="shared" ref="F86:H86" si="3">SUM(F84:F85)</f>
        <v>0</v>
      </c>
      <c r="G86" s="26">
        <f t="shared" si="3"/>
        <v>3426600</v>
      </c>
      <c r="H86" s="26">
        <f t="shared" si="3"/>
        <v>0</v>
      </c>
      <c r="I86" s="26">
        <f>SUM(I84:I85)</f>
        <v>3426600</v>
      </c>
      <c r="J86" s="12"/>
    </row>
    <row r="87" spans="1:36" ht="28.5" customHeight="1">
      <c r="A87" s="24" t="s">
        <v>175</v>
      </c>
      <c r="B87" s="6">
        <v>100110020010</v>
      </c>
      <c r="C87" s="25">
        <v>71602</v>
      </c>
      <c r="D87" s="25">
        <v>80302</v>
      </c>
      <c r="E87" s="25">
        <v>210101</v>
      </c>
      <c r="F87" s="11">
        <v>930000</v>
      </c>
      <c r="G87" s="11"/>
      <c r="H87" s="11">
        <v>660000</v>
      </c>
      <c r="I87" s="11">
        <v>270000</v>
      </c>
      <c r="J87" s="12"/>
      <c r="K87" s="13" t="s">
        <v>68</v>
      </c>
    </row>
    <row r="88" spans="1:36" ht="13.5" customHeight="1">
      <c r="A88" s="139" t="s">
        <v>85</v>
      </c>
      <c r="B88" s="139"/>
      <c r="C88" s="139"/>
      <c r="D88" s="139"/>
      <c r="E88" s="139"/>
      <c r="F88" s="34">
        <f>SUM(F87:F87)</f>
        <v>930000</v>
      </c>
      <c r="G88" s="34">
        <f>I88-F88</f>
        <v>-660000</v>
      </c>
      <c r="H88" s="34"/>
      <c r="I88" s="34">
        <f>SUM(I87:I87)</f>
        <v>270000</v>
      </c>
      <c r="J88" s="12"/>
    </row>
    <row r="89" spans="1:36" ht="13.5" customHeight="1">
      <c r="A89" s="139" t="s">
        <v>93</v>
      </c>
      <c r="B89" s="139"/>
      <c r="C89" s="139"/>
      <c r="D89" s="139"/>
      <c r="E89" s="139"/>
      <c r="F89" s="26">
        <f>F29+F55+F81</f>
        <v>201748855</v>
      </c>
      <c r="G89" s="26">
        <f t="shared" ref="G89:I89" si="4">G29+G55+G81</f>
        <v>-40304861.490000002</v>
      </c>
      <c r="H89" s="26"/>
      <c r="I89" s="26">
        <f t="shared" si="4"/>
        <v>161443993.50999999</v>
      </c>
      <c r="J89" s="26"/>
    </row>
    <row r="91" spans="1:36" ht="15" customHeight="1">
      <c r="E91" s="13" t="s">
        <v>94</v>
      </c>
    </row>
    <row r="93" spans="1:36" s="35" customFormat="1" ht="14.25">
      <c r="A93" s="36"/>
      <c r="B93" s="124" t="s">
        <v>139</v>
      </c>
      <c r="C93" s="124"/>
      <c r="D93" s="124"/>
      <c r="E93" s="124"/>
      <c r="F93" s="124"/>
      <c r="G93" s="124"/>
      <c r="H93" s="36"/>
      <c r="N93" s="36"/>
      <c r="T93" s="36"/>
      <c r="X93" s="36"/>
      <c r="AD93" s="36"/>
      <c r="AH93" s="36"/>
      <c r="AJ93" s="36"/>
    </row>
    <row r="94" spans="1:36" s="1" customFormat="1" ht="21.75" customHeight="1">
      <c r="A94" s="133" t="s">
        <v>107</v>
      </c>
      <c r="B94" s="133"/>
      <c r="C94" s="133"/>
      <c r="D94" s="133"/>
      <c r="E94" s="133"/>
      <c r="F94" s="133"/>
      <c r="G94" s="133"/>
      <c r="H94" s="133"/>
      <c r="I94" s="133"/>
      <c r="J94" s="133"/>
    </row>
  </sheetData>
  <mergeCells count="8">
    <mergeCell ref="A94:J94"/>
    <mergeCell ref="A89:E89"/>
    <mergeCell ref="A1:J1"/>
    <mergeCell ref="A29:E29"/>
    <mergeCell ref="A55:E55"/>
    <mergeCell ref="A81:E81"/>
    <mergeCell ref="B93:G93"/>
    <mergeCell ref="A88:E88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sar medee</vt:lpstr>
      <vt:lpstr>ur</vt:lpstr>
      <vt:lpstr>avlaga</vt:lpstr>
      <vt:lpstr>ur!Print_Area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2022-11-10T07:03:09Z</dcterms:modified>
</cp:coreProperties>
</file>